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luky-my.sharepoint.com/personal/ncat223_uky_edu/Documents/Personal/Communications/New website/Extension/Budgets/"/>
    </mc:Choice>
  </mc:AlternateContent>
  <xr:revisionPtr revIDLastSave="0" documentId="8_{1F2DD2CF-B23F-4136-952C-D0346B819238}" xr6:coauthVersionLast="47" xr6:coauthVersionMax="47" xr10:uidLastSave="{00000000-0000-0000-0000-000000000000}"/>
  <workbookProtection workbookAlgorithmName="SHA-512" workbookHashValue="Jq2/wJmFQKDnDlkiOYg7xfg364lDl1MjOVR3oGvUI99SkfvH3GoMt9LY1/oZ++Pyw5Iqs+ADMGJxtgTXov8xAQ==" workbookSaltValue="vzsA3Swc/Zx8otl+gaQv5w==" workbookSpinCount="100000" lockStructure="1"/>
  <bookViews>
    <workbookView xWindow="25080" yWindow="-120" windowWidth="25440" windowHeight="15270" tabRatio="908" xr2:uid="{00000000-000D-0000-FFFF-FFFF00000000}"/>
  </bookViews>
  <sheets>
    <sheet name="Cover" sheetId="14" r:id="rId1"/>
    <sheet name="Trucking" sheetId="20" state="hidden" r:id="rId2"/>
    <sheet name="Corn" sheetId="7" r:id="rId3"/>
    <sheet name="Machinery Calculations (Corn)" sheetId="4" state="hidden" r:id="rId4"/>
    <sheet name="Machinery(Corn)" sheetId="13" r:id="rId5"/>
    <sheet name="Storage(Corn&amp;SB)" sheetId="24" r:id="rId6"/>
    <sheet name="Summary(Corn)" sheetId="25" r:id="rId7"/>
    <sheet name="Soybeans" sheetId="18" r:id="rId8"/>
    <sheet name="Machinery(Soybeans)" sheetId="28" r:id="rId9"/>
    <sheet name="Machinery Calculations (SB)" sheetId="19" state="hidden" r:id="rId10"/>
    <sheet name="Summary(Soybeans)" sheetId="30" r:id="rId11"/>
    <sheet name="SensitivityTableNotes" sheetId="34" state="hidden" r:id="rId12"/>
    <sheet name="2020Notes" sheetId="21" state="hidden" r:id="rId13"/>
    <sheet name="Notes-Questions" sheetId="6"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3" l="1"/>
  <c r="N34" i="28"/>
  <c r="G31" i="13"/>
  <c r="D5" i="24"/>
  <c r="J6" i="18"/>
  <c r="D12" i="24" s="1"/>
  <c r="D20" i="24" s="1"/>
  <c r="D21" i="24" s="1"/>
  <c r="J30" i="18" s="1"/>
  <c r="G19" i="30" s="1"/>
  <c r="C5" i="24"/>
  <c r="J6" i="7"/>
  <c r="C12" i="24" s="1"/>
  <c r="C20" i="24" s="1"/>
  <c r="C21" i="24" s="1"/>
  <c r="J30" i="7" s="1"/>
  <c r="G19" i="25" s="1"/>
  <c r="J7" i="18"/>
  <c r="J8" i="18"/>
  <c r="D59" i="7"/>
  <c r="L26" i="7" s="1"/>
  <c r="G30" i="28"/>
  <c r="C37" i="28"/>
  <c r="C36" i="28"/>
  <c r="C5" i="28"/>
  <c r="B3" i="19" s="1"/>
  <c r="U72" i="19"/>
  <c r="G37" i="28" s="1"/>
  <c r="L37" i="28" s="1"/>
  <c r="U20" i="19"/>
  <c r="F21" i="19"/>
  <c r="X21" i="19" s="1"/>
  <c r="D21" i="19"/>
  <c r="E21" i="19"/>
  <c r="U21" i="19"/>
  <c r="F22" i="19"/>
  <c r="X22" i="19" s="1"/>
  <c r="D22" i="19"/>
  <c r="E22" i="19"/>
  <c r="F25" i="19"/>
  <c r="D25" i="19"/>
  <c r="E25" i="19"/>
  <c r="U16" i="19"/>
  <c r="U25" i="19"/>
  <c r="U26" i="19"/>
  <c r="F27" i="19"/>
  <c r="D27" i="19"/>
  <c r="E27" i="19"/>
  <c r="U27" i="19"/>
  <c r="U28" i="19"/>
  <c r="F29" i="19"/>
  <c r="E29" i="19"/>
  <c r="U29" i="19"/>
  <c r="U32" i="19"/>
  <c r="F34" i="19"/>
  <c r="Z34" i="19" s="1"/>
  <c r="D34" i="19"/>
  <c r="E34" i="19"/>
  <c r="V34" i="19" s="1"/>
  <c r="U34" i="19"/>
  <c r="U35" i="19"/>
  <c r="F36" i="19"/>
  <c r="D36" i="19"/>
  <c r="E36" i="19"/>
  <c r="F37" i="19"/>
  <c r="D37" i="19"/>
  <c r="E37" i="19"/>
  <c r="U40" i="19"/>
  <c r="F41" i="19"/>
  <c r="Z41" i="19" s="1"/>
  <c r="K22" i="28" s="1"/>
  <c r="D41" i="19"/>
  <c r="E41" i="19"/>
  <c r="F43" i="19"/>
  <c r="D43" i="19"/>
  <c r="E43" i="19"/>
  <c r="U43" i="19"/>
  <c r="F44" i="19"/>
  <c r="X44" i="19" s="1"/>
  <c r="D44" i="19"/>
  <c r="E44" i="19"/>
  <c r="W44" i="19" s="1"/>
  <c r="U44" i="19"/>
  <c r="U47" i="19"/>
  <c r="F48" i="19"/>
  <c r="Z48" i="19" s="1"/>
  <c r="K25" i="28" s="1"/>
  <c r="E48" i="19"/>
  <c r="U49" i="19"/>
  <c r="F50" i="19"/>
  <c r="E50" i="19"/>
  <c r="C76" i="18"/>
  <c r="C9" i="20"/>
  <c r="F56" i="19"/>
  <c r="E56" i="19"/>
  <c r="U60" i="19"/>
  <c r="F63" i="19"/>
  <c r="E63" i="19"/>
  <c r="U64" i="19"/>
  <c r="U67" i="19"/>
  <c r="U68" i="19"/>
  <c r="B15" i="19"/>
  <c r="C8" i="28"/>
  <c r="B6" i="19"/>
  <c r="W41" i="19" s="1"/>
  <c r="W71" i="19"/>
  <c r="W20" i="19"/>
  <c r="W21" i="19"/>
  <c r="W16" i="19"/>
  <c r="W40" i="19"/>
  <c r="W42" i="19"/>
  <c r="W43" i="19"/>
  <c r="W47" i="19"/>
  <c r="W49" i="19"/>
  <c r="W50" i="19"/>
  <c r="W56" i="19"/>
  <c r="W57" i="19"/>
  <c r="C6" i="28"/>
  <c r="B4" i="19" s="1"/>
  <c r="V16" i="19"/>
  <c r="V26" i="19"/>
  <c r="V27" i="19"/>
  <c r="V28" i="19"/>
  <c r="V29" i="19"/>
  <c r="V32" i="19"/>
  <c r="V35" i="19"/>
  <c r="V40" i="19"/>
  <c r="V42" i="19"/>
  <c r="V43" i="19"/>
  <c r="X23" i="19"/>
  <c r="X16" i="19"/>
  <c r="X25" i="19"/>
  <c r="H27" i="28" s="1"/>
  <c r="X26" i="19"/>
  <c r="X27" i="19"/>
  <c r="X28" i="19"/>
  <c r="X29" i="19"/>
  <c r="X32" i="19"/>
  <c r="X34" i="19"/>
  <c r="X35" i="19"/>
  <c r="X47" i="19"/>
  <c r="C6" i="20"/>
  <c r="X57" i="19"/>
  <c r="X58" i="19"/>
  <c r="X59" i="19"/>
  <c r="X60" i="19"/>
  <c r="X64" i="19"/>
  <c r="X67" i="19"/>
  <c r="X68" i="19"/>
  <c r="Z20" i="19"/>
  <c r="Z21" i="19"/>
  <c r="Z22" i="19"/>
  <c r="Z23" i="19"/>
  <c r="Z32" i="19"/>
  <c r="Z35" i="19"/>
  <c r="Z42" i="19"/>
  <c r="Z43" i="19"/>
  <c r="Z47" i="19"/>
  <c r="Z49" i="19"/>
  <c r="Z50" i="19"/>
  <c r="K26" i="28" s="1"/>
  <c r="Z56" i="19"/>
  <c r="K24" i="28" s="1"/>
  <c r="Z57" i="19"/>
  <c r="Z58" i="19"/>
  <c r="Z59" i="19"/>
  <c r="Z60" i="19"/>
  <c r="Y16" i="19"/>
  <c r="Z79" i="19"/>
  <c r="C84" i="18"/>
  <c r="J27" i="18" s="1"/>
  <c r="J26" i="18"/>
  <c r="J32" i="18"/>
  <c r="G21" i="30" s="1"/>
  <c r="J28" i="18"/>
  <c r="J14" i="18"/>
  <c r="J15" i="18"/>
  <c r="C86" i="7"/>
  <c r="Z51" i="4" s="1"/>
  <c r="K29" i="13" s="1"/>
  <c r="F51" i="4"/>
  <c r="D21" i="4"/>
  <c r="E21" i="4"/>
  <c r="F21" i="4"/>
  <c r="U16" i="4"/>
  <c r="D22" i="4"/>
  <c r="E22" i="4"/>
  <c r="F22" i="4"/>
  <c r="D25" i="4"/>
  <c r="E25" i="4"/>
  <c r="F25" i="4"/>
  <c r="D27" i="4"/>
  <c r="E27" i="4"/>
  <c r="X27" i="4" s="1"/>
  <c r="F27" i="4"/>
  <c r="D29" i="4"/>
  <c r="E29" i="4"/>
  <c r="F29" i="4"/>
  <c r="B3" i="4"/>
  <c r="M29" i="4" s="1"/>
  <c r="D32" i="4"/>
  <c r="E32" i="4"/>
  <c r="F32" i="4"/>
  <c r="F36" i="4"/>
  <c r="D36" i="4"/>
  <c r="E36" i="4"/>
  <c r="F37" i="4"/>
  <c r="D37" i="4"/>
  <c r="E37" i="4"/>
  <c r="D40" i="4"/>
  <c r="E40" i="4"/>
  <c r="F40" i="4"/>
  <c r="Z40" i="4" s="1"/>
  <c r="K22" i="13" s="1"/>
  <c r="F43" i="4"/>
  <c r="D43" i="4"/>
  <c r="E43" i="4"/>
  <c r="F44" i="4"/>
  <c r="D44" i="4"/>
  <c r="E44" i="4"/>
  <c r="E47" i="4"/>
  <c r="F47" i="4"/>
  <c r="E50" i="4"/>
  <c r="F50" i="4"/>
  <c r="D56" i="4"/>
  <c r="E56" i="4"/>
  <c r="F56" i="4"/>
  <c r="D59" i="4"/>
  <c r="E59" i="4"/>
  <c r="F59" i="4"/>
  <c r="D63" i="4"/>
  <c r="E63" i="4"/>
  <c r="F63" i="4"/>
  <c r="Z63" i="4" s="1"/>
  <c r="K23" i="13" s="1"/>
  <c r="U20" i="4"/>
  <c r="U23" i="4"/>
  <c r="U26" i="4"/>
  <c r="U28" i="4"/>
  <c r="U34" i="4"/>
  <c r="U35" i="4"/>
  <c r="U41" i="4"/>
  <c r="U42" i="4"/>
  <c r="U48" i="4"/>
  <c r="U67" i="4"/>
  <c r="U68" i="4"/>
  <c r="C38" i="13"/>
  <c r="U72" i="4" s="1"/>
  <c r="G38" i="13" s="1"/>
  <c r="L38" i="13" s="1"/>
  <c r="D60" i="7"/>
  <c r="B4" i="4"/>
  <c r="B6" i="4"/>
  <c r="X16" i="4"/>
  <c r="P29" i="4"/>
  <c r="J36" i="4"/>
  <c r="K36" i="4"/>
  <c r="K37" i="4"/>
  <c r="P37" i="4"/>
  <c r="K40" i="4"/>
  <c r="K50" i="4"/>
  <c r="K56" i="4"/>
  <c r="P56" i="4"/>
  <c r="X23" i="4"/>
  <c r="X28" i="4"/>
  <c r="X34" i="4"/>
  <c r="X35" i="4"/>
  <c r="X41" i="4"/>
  <c r="X42" i="4"/>
  <c r="X57" i="4"/>
  <c r="X58" i="4"/>
  <c r="X60" i="4"/>
  <c r="X64" i="4"/>
  <c r="X67" i="4"/>
  <c r="X68" i="4"/>
  <c r="W16" i="4"/>
  <c r="W29" i="4"/>
  <c r="W20" i="4"/>
  <c r="W23" i="4"/>
  <c r="W26" i="4"/>
  <c r="W28" i="4"/>
  <c r="W41" i="4"/>
  <c r="W48" i="4"/>
  <c r="W49" i="4"/>
  <c r="W57" i="4"/>
  <c r="W58" i="4"/>
  <c r="W60" i="4"/>
  <c r="W68" i="4"/>
  <c r="B15" i="4"/>
  <c r="W71" i="4"/>
  <c r="V16" i="4"/>
  <c r="V20" i="4"/>
  <c r="V23" i="4"/>
  <c r="V26" i="4"/>
  <c r="V28" i="4"/>
  <c r="V34" i="4"/>
  <c r="V35" i="4"/>
  <c r="V41" i="4"/>
  <c r="V42" i="4"/>
  <c r="V64" i="4"/>
  <c r="V67" i="4"/>
  <c r="V68" i="4"/>
  <c r="Z27" i="4"/>
  <c r="Z29" i="4"/>
  <c r="K33" i="13" s="1"/>
  <c r="Z50" i="4"/>
  <c r="K27" i="13" s="1"/>
  <c r="Z20" i="4"/>
  <c r="Z23" i="4"/>
  <c r="Z26" i="4"/>
  <c r="Z28" i="4"/>
  <c r="Z34" i="4"/>
  <c r="Z35" i="4"/>
  <c r="Z41" i="4"/>
  <c r="Z42" i="4"/>
  <c r="Y15" i="4"/>
  <c r="Y64" i="4" s="1"/>
  <c r="Y16" i="4"/>
  <c r="Y20" i="4"/>
  <c r="Y23" i="4"/>
  <c r="Y26" i="4"/>
  <c r="Y28" i="4"/>
  <c r="Y34" i="4"/>
  <c r="Y35" i="4"/>
  <c r="Y41" i="4"/>
  <c r="Y42" i="4"/>
  <c r="Y48" i="4"/>
  <c r="Y49" i="4"/>
  <c r="Y57" i="4"/>
  <c r="Y58" i="4"/>
  <c r="Y60" i="4"/>
  <c r="Y68" i="4"/>
  <c r="C70" i="7"/>
  <c r="B8" i="4"/>
  <c r="B25" i="20"/>
  <c r="H25" i="20" s="1"/>
  <c r="I51" i="4" s="1"/>
  <c r="O51" i="4"/>
  <c r="J27" i="7"/>
  <c r="L26" i="18"/>
  <c r="Y23" i="19"/>
  <c r="Y25" i="19"/>
  <c r="I27" i="28" s="1"/>
  <c r="Y26" i="19"/>
  <c r="Y27" i="19"/>
  <c r="Y28" i="19"/>
  <c r="Y29" i="19"/>
  <c r="Y32" i="19"/>
  <c r="Y34" i="19"/>
  <c r="Y35" i="19"/>
  <c r="Y40" i="19"/>
  <c r="Y42" i="19"/>
  <c r="Y47" i="19"/>
  <c r="Y57" i="19"/>
  <c r="Y58" i="19"/>
  <c r="Y59" i="19"/>
  <c r="Y60" i="19"/>
  <c r="Y64" i="19"/>
  <c r="J41" i="18"/>
  <c r="J12" i="18"/>
  <c r="D47" i="4"/>
  <c r="D50" i="4"/>
  <c r="K32" i="13"/>
  <c r="G34" i="13"/>
  <c r="H34" i="13"/>
  <c r="I34" i="13"/>
  <c r="J34" i="13"/>
  <c r="K34" i="13"/>
  <c r="G35" i="13"/>
  <c r="H35" i="13"/>
  <c r="I35" i="13"/>
  <c r="J35" i="13"/>
  <c r="K35" i="13"/>
  <c r="C37" i="13"/>
  <c r="B5" i="4"/>
  <c r="J41" i="7" s="1"/>
  <c r="G30" i="25" s="1"/>
  <c r="U15" i="4"/>
  <c r="U49" i="4" s="1"/>
  <c r="J26" i="7"/>
  <c r="J32" i="7"/>
  <c r="J28" i="7"/>
  <c r="J12" i="7"/>
  <c r="G11" i="25" s="1"/>
  <c r="J13" i="7"/>
  <c r="G12" i="25" s="1"/>
  <c r="J14" i="7"/>
  <c r="J15" i="7"/>
  <c r="J16" i="7"/>
  <c r="J17" i="7"/>
  <c r="J18" i="7"/>
  <c r="G14" i="25" s="1"/>
  <c r="J19" i="7"/>
  <c r="J20" i="7"/>
  <c r="J29" i="7"/>
  <c r="G18" i="25" s="1"/>
  <c r="J31" i="7"/>
  <c r="G20" i="25" s="1"/>
  <c r="J33" i="7"/>
  <c r="G22" i="25" s="1"/>
  <c r="J34" i="7"/>
  <c r="J7" i="7"/>
  <c r="J8" i="7"/>
  <c r="J43" i="7"/>
  <c r="J44" i="7"/>
  <c r="B49" i="18"/>
  <c r="B49" i="7"/>
  <c r="B48" i="18"/>
  <c r="B47" i="18"/>
  <c r="B37" i="25"/>
  <c r="B36" i="25"/>
  <c r="B37" i="30"/>
  <c r="B36" i="30"/>
  <c r="B48" i="7"/>
  <c r="B47" i="7"/>
  <c r="B35" i="25"/>
  <c r="B35" i="30"/>
  <c r="I51" i="13"/>
  <c r="L51" i="13" s="1"/>
  <c r="C32" i="13" s="1"/>
  <c r="J51" i="13"/>
  <c r="I52" i="13"/>
  <c r="L52" i="13" s="1"/>
  <c r="J52" i="13"/>
  <c r="G12" i="30"/>
  <c r="P15" i="18"/>
  <c r="P15" i="7"/>
  <c r="C22" i="13"/>
  <c r="E30" i="18"/>
  <c r="C91" i="18"/>
  <c r="C94" i="7"/>
  <c r="D5" i="30"/>
  <c r="F5" i="30"/>
  <c r="E5" i="30"/>
  <c r="F5" i="25"/>
  <c r="E5" i="25"/>
  <c r="D5" i="25"/>
  <c r="W15" i="19"/>
  <c r="W22" i="19" s="1"/>
  <c r="V15" i="19"/>
  <c r="V44" i="19" s="1"/>
  <c r="B2" i="19"/>
  <c r="O68" i="19"/>
  <c r="C9" i="28"/>
  <c r="B7" i="19"/>
  <c r="O67" i="19"/>
  <c r="O64" i="19"/>
  <c r="O63" i="19"/>
  <c r="O60" i="19"/>
  <c r="O59" i="19"/>
  <c r="O58" i="19"/>
  <c r="O57" i="19"/>
  <c r="O56" i="19"/>
  <c r="O50" i="19"/>
  <c r="O49" i="19"/>
  <c r="O48" i="19"/>
  <c r="O47" i="19"/>
  <c r="O44" i="19"/>
  <c r="O43" i="19"/>
  <c r="O42" i="19"/>
  <c r="O41" i="19"/>
  <c r="O40" i="19"/>
  <c r="O37" i="19"/>
  <c r="O36" i="19"/>
  <c r="O35" i="19"/>
  <c r="O34" i="19"/>
  <c r="O32" i="19"/>
  <c r="O29" i="19"/>
  <c r="O28" i="19"/>
  <c r="O27" i="19"/>
  <c r="O26" i="19"/>
  <c r="O25" i="19"/>
  <c r="O23" i="19"/>
  <c r="O22" i="19"/>
  <c r="O21" i="19"/>
  <c r="O20" i="19"/>
  <c r="E12" i="34"/>
  <c r="E2" i="34"/>
  <c r="B12" i="34"/>
  <c r="B2" i="34"/>
  <c r="O21" i="4"/>
  <c r="B7" i="4"/>
  <c r="K21" i="4" s="1"/>
  <c r="P21" i="4"/>
  <c r="B26" i="20"/>
  <c r="C26" i="20" s="1"/>
  <c r="D26" i="20" s="1"/>
  <c r="O56" i="4"/>
  <c r="O68" i="4"/>
  <c r="P68" i="4" s="1"/>
  <c r="O67" i="4"/>
  <c r="O64" i="4"/>
  <c r="O63" i="4"/>
  <c r="O60" i="4"/>
  <c r="P60" i="4" s="1"/>
  <c r="O59" i="4"/>
  <c r="K59" i="4" s="1"/>
  <c r="O58" i="4"/>
  <c r="O57" i="4"/>
  <c r="P57" i="4" s="1"/>
  <c r="O50" i="4"/>
  <c r="V50" i="4" s="1"/>
  <c r="O49" i="4"/>
  <c r="P49" i="4" s="1"/>
  <c r="O48" i="4"/>
  <c r="P48" i="4" s="1"/>
  <c r="O47" i="4"/>
  <c r="P47" i="4" s="1"/>
  <c r="O44" i="4"/>
  <c r="P44" i="4" s="1"/>
  <c r="O43" i="4"/>
  <c r="O42" i="4"/>
  <c r="O41" i="4"/>
  <c r="O37" i="4"/>
  <c r="O36" i="4"/>
  <c r="O35" i="4"/>
  <c r="O34" i="4"/>
  <c r="O32" i="4"/>
  <c r="O29" i="4"/>
  <c r="O28" i="4"/>
  <c r="O27" i="4"/>
  <c r="O26" i="4"/>
  <c r="O25" i="4"/>
  <c r="O23" i="4"/>
  <c r="O22" i="4"/>
  <c r="O20" i="4"/>
  <c r="P20" i="4" s="1"/>
  <c r="O40" i="4"/>
  <c r="B14" i="28"/>
  <c r="J29" i="18"/>
  <c r="Z16" i="19"/>
  <c r="Z16" i="4"/>
  <c r="G18" i="30"/>
  <c r="M13" i="18"/>
  <c r="O13" i="18"/>
  <c r="P13" i="18" s="1"/>
  <c r="P14" i="18" s="1"/>
  <c r="P13" i="7"/>
  <c r="P14" i="7" s="1"/>
  <c r="R13" i="18"/>
  <c r="G50" i="28"/>
  <c r="G49" i="28"/>
  <c r="C31" i="28"/>
  <c r="C32" i="28"/>
  <c r="C34" i="28"/>
  <c r="C33" i="28"/>
  <c r="D29" i="19"/>
  <c r="C33" i="13"/>
  <c r="Z15" i="19"/>
  <c r="Z25" i="19" s="1"/>
  <c r="K27" i="28" s="1"/>
  <c r="J53" i="13"/>
  <c r="Z15" i="4"/>
  <c r="Z48" i="4" s="1"/>
  <c r="C35" i="13"/>
  <c r="C34" i="13"/>
  <c r="I53" i="13"/>
  <c r="J33" i="18"/>
  <c r="G22" i="30"/>
  <c r="F10" i="24"/>
  <c r="L17" i="7"/>
  <c r="S11" i="7"/>
  <c r="G11" i="30"/>
  <c r="R14" i="18"/>
  <c r="J13" i="18"/>
  <c r="N15" i="18"/>
  <c r="N15" i="7"/>
  <c r="N14" i="18"/>
  <c r="N14" i="7"/>
  <c r="N13" i="7"/>
  <c r="J43" i="18"/>
  <c r="J44" i="18"/>
  <c r="G32" i="30"/>
  <c r="C7" i="28"/>
  <c r="B5" i="19"/>
  <c r="C26" i="28"/>
  <c r="C25" i="28"/>
  <c r="D50" i="19"/>
  <c r="S13" i="7"/>
  <c r="R14" i="7"/>
  <c r="T14" i="7"/>
  <c r="R13" i="7"/>
  <c r="T13" i="7" s="1"/>
  <c r="L51" i="19"/>
  <c r="B2" i="18"/>
  <c r="B2" i="30"/>
  <c r="C22" i="28"/>
  <c r="C23" i="28"/>
  <c r="C24" i="28"/>
  <c r="C27" i="28"/>
  <c r="Y15" i="19"/>
  <c r="Y43" i="19" s="1"/>
  <c r="X15" i="19"/>
  <c r="X40" i="19" s="1"/>
  <c r="U15" i="19"/>
  <c r="U22" i="19" s="1"/>
  <c r="B8" i="19"/>
  <c r="D63" i="19"/>
  <c r="D56" i="19"/>
  <c r="D48" i="19"/>
  <c r="R15" i="18"/>
  <c r="R15" i="7"/>
  <c r="T15" i="7"/>
  <c r="C23" i="13"/>
  <c r="C25" i="13"/>
  <c r="C24" i="13"/>
  <c r="C27" i="13"/>
  <c r="C26" i="13"/>
  <c r="C28" i="13"/>
  <c r="E30" i="7"/>
  <c r="O81" i="4"/>
  <c r="C25" i="20"/>
  <c r="D25" i="20" s="1"/>
  <c r="L81" i="4"/>
  <c r="B2" i="7"/>
  <c r="B2" i="25"/>
  <c r="X15" i="4"/>
  <c r="X20" i="4" s="1"/>
  <c r="W15" i="4"/>
  <c r="W34" i="4" s="1"/>
  <c r="V15" i="4"/>
  <c r="V48" i="4" s="1"/>
  <c r="H176" i="4"/>
  <c r="G176" i="4"/>
  <c r="H167" i="4"/>
  <c r="H168" i="4"/>
  <c r="H169" i="4"/>
  <c r="H171" i="4"/>
  <c r="H172" i="4"/>
  <c r="H173" i="4"/>
  <c r="H174" i="4"/>
  <c r="H175" i="4"/>
  <c r="H166" i="4"/>
  <c r="G170" i="4"/>
  <c r="G171" i="4"/>
  <c r="G172" i="4"/>
  <c r="G173" i="4"/>
  <c r="G174" i="4"/>
  <c r="G175" i="4"/>
  <c r="H103" i="4"/>
  <c r="H102" i="4"/>
  <c r="F25" i="20"/>
  <c r="F23" i="20"/>
  <c r="C23" i="20"/>
  <c r="D23" i="20" s="1"/>
  <c r="F22" i="20"/>
  <c r="C22" i="20"/>
  <c r="D22" i="20"/>
  <c r="F21" i="20"/>
  <c r="C21" i="20"/>
  <c r="D21" i="20"/>
  <c r="F20" i="20"/>
  <c r="C20" i="20"/>
  <c r="D20" i="20"/>
  <c r="F19" i="20"/>
  <c r="C19" i="20"/>
  <c r="D19" i="20"/>
  <c r="F18" i="20"/>
  <c r="C18" i="20"/>
  <c r="D18" i="20"/>
  <c r="G7" i="30"/>
  <c r="G6" i="30"/>
  <c r="G6" i="25"/>
  <c r="G7" i="25"/>
  <c r="J16" i="18"/>
  <c r="G13" i="30" s="1"/>
  <c r="J17" i="18"/>
  <c r="J18" i="18"/>
  <c r="G14" i="30" s="1"/>
  <c r="J19" i="18"/>
  <c r="J20" i="18"/>
  <c r="J31" i="18"/>
  <c r="G20" i="30" s="1"/>
  <c r="J34" i="18"/>
  <c r="G23" i="30"/>
  <c r="G23" i="25"/>
  <c r="G32" i="25"/>
  <c r="G5" i="30"/>
  <c r="G21" i="25"/>
  <c r="K32" i="28"/>
  <c r="G32" i="28"/>
  <c r="G34" i="28"/>
  <c r="K34" i="28"/>
  <c r="K33" i="28"/>
  <c r="G33" i="28"/>
  <c r="J32" i="28"/>
  <c r="G31" i="28"/>
  <c r="J33" i="28"/>
  <c r="J31" i="28"/>
  <c r="K31" i="28"/>
  <c r="J34" i="28"/>
  <c r="I32" i="28"/>
  <c r="H32" i="28"/>
  <c r="I34" i="28"/>
  <c r="H34" i="28"/>
  <c r="H33" i="28"/>
  <c r="I33" i="28"/>
  <c r="H31" i="28"/>
  <c r="I31" i="28"/>
  <c r="B14" i="13"/>
  <c r="G27" i="28"/>
  <c r="P26" i="4"/>
  <c r="K32" i="4"/>
  <c r="P58" i="4"/>
  <c r="P59" i="4"/>
  <c r="K22" i="4"/>
  <c r="P42" i="4"/>
  <c r="P64" i="4"/>
  <c r="G30" i="30"/>
  <c r="E21" i="20"/>
  <c r="G21" i="20" s="1"/>
  <c r="H20" i="20"/>
  <c r="I20" i="20" s="1"/>
  <c r="H23" i="20"/>
  <c r="I23" i="20" s="1"/>
  <c r="P67" i="4"/>
  <c r="P34" i="4"/>
  <c r="P25" i="4"/>
  <c r="P28" i="4"/>
  <c r="P41" i="4"/>
  <c r="K43" i="4"/>
  <c r="P43" i="4"/>
  <c r="P23" i="4"/>
  <c r="P22" i="4"/>
  <c r="P32" i="4"/>
  <c r="M42" i="4"/>
  <c r="M27" i="4"/>
  <c r="K27" i="4"/>
  <c r="M36" i="19" l="1"/>
  <c r="U36" i="19" s="1"/>
  <c r="J37" i="19"/>
  <c r="M22" i="19"/>
  <c r="M21" i="19"/>
  <c r="J29" i="19"/>
  <c r="M50" i="19"/>
  <c r="U50" i="19" s="1"/>
  <c r="G26" i="28" s="1"/>
  <c r="M32" i="19"/>
  <c r="M49" i="19"/>
  <c r="I49" i="19" s="1"/>
  <c r="Q49" i="19" s="1"/>
  <c r="R49" i="19" s="1"/>
  <c r="S49" i="19" s="1"/>
  <c r="M58" i="19"/>
  <c r="M26" i="19"/>
  <c r="I26" i="19" s="1"/>
  <c r="Q26" i="19" s="1"/>
  <c r="J27" i="19"/>
  <c r="J41" i="19"/>
  <c r="M27" i="19"/>
  <c r="J21" i="19"/>
  <c r="M20" i="19"/>
  <c r="M60" i="19"/>
  <c r="I60" i="19" s="1"/>
  <c r="Q60" i="19" s="1"/>
  <c r="R60" i="19" s="1"/>
  <c r="S60" i="19" s="1"/>
  <c r="J22" i="19"/>
  <c r="M63" i="19"/>
  <c r="U63" i="19" s="1"/>
  <c r="G23" i="28" s="1"/>
  <c r="M67" i="19"/>
  <c r="M48" i="19"/>
  <c r="U48" i="19" s="1"/>
  <c r="G25" i="28" s="1"/>
  <c r="M57" i="19"/>
  <c r="I57" i="19" s="1"/>
  <c r="Q57" i="19" s="1"/>
  <c r="M44" i="19"/>
  <c r="M43" i="19"/>
  <c r="M68" i="19"/>
  <c r="M42" i="19"/>
  <c r="M59" i="19"/>
  <c r="M25" i="19"/>
  <c r="M29" i="19"/>
  <c r="M37" i="19"/>
  <c r="U37" i="19" s="1"/>
  <c r="J34" i="19"/>
  <c r="M56" i="19"/>
  <c r="U56" i="19" s="1"/>
  <c r="G24" i="28" s="1"/>
  <c r="J48" i="19"/>
  <c r="I48" i="19" s="1"/>
  <c r="Q48" i="19" s="1"/>
  <c r="J43" i="19"/>
  <c r="M34" i="19"/>
  <c r="M35" i="19"/>
  <c r="M40" i="19"/>
  <c r="J63" i="19"/>
  <c r="I63" i="19" s="1"/>
  <c r="Q63" i="19" s="1"/>
  <c r="R63" i="19" s="1"/>
  <c r="X63" i="19" s="1"/>
  <c r="H23" i="28" s="1"/>
  <c r="M47" i="19"/>
  <c r="J50" i="19"/>
  <c r="I50" i="19" s="1"/>
  <c r="Q50" i="19" s="1"/>
  <c r="R50" i="19" s="1"/>
  <c r="X50" i="19" s="1"/>
  <c r="H26" i="28" s="1"/>
  <c r="J25" i="19"/>
  <c r="J44" i="19"/>
  <c r="M23" i="19"/>
  <c r="I23" i="19" s="1"/>
  <c r="Q23" i="19" s="1"/>
  <c r="M28" i="19"/>
  <c r="M64" i="19"/>
  <c r="J36" i="19"/>
  <c r="I36" i="19" s="1"/>
  <c r="J56" i="19"/>
  <c r="W47" i="4"/>
  <c r="V25" i="19"/>
  <c r="J27" i="28" s="1"/>
  <c r="L27" i="28" s="1"/>
  <c r="K44" i="4"/>
  <c r="Y21" i="19"/>
  <c r="Z22" i="4"/>
  <c r="V23" i="19"/>
  <c r="W36" i="19"/>
  <c r="Y68" i="19"/>
  <c r="Y20" i="19"/>
  <c r="Z21" i="4"/>
  <c r="W67" i="4"/>
  <c r="X49" i="4"/>
  <c r="K29" i="4"/>
  <c r="Z32" i="4"/>
  <c r="Z40" i="19"/>
  <c r="X20" i="19"/>
  <c r="V22" i="19"/>
  <c r="W35" i="19"/>
  <c r="U59" i="19"/>
  <c r="U42" i="19"/>
  <c r="K47" i="4"/>
  <c r="Y22" i="19"/>
  <c r="Z25" i="4"/>
  <c r="K28" i="13" s="1"/>
  <c r="W37" i="19"/>
  <c r="K25" i="4"/>
  <c r="P27" i="4"/>
  <c r="G8" i="30"/>
  <c r="G5" i="25"/>
  <c r="G8" i="25" s="1"/>
  <c r="Y67" i="19"/>
  <c r="W64" i="4"/>
  <c r="X48" i="4"/>
  <c r="Z37" i="19"/>
  <c r="V68" i="19"/>
  <c r="V21" i="19"/>
  <c r="W34" i="19"/>
  <c r="U58" i="19"/>
  <c r="I42" i="4"/>
  <c r="Q42" i="4" s="1"/>
  <c r="R42" i="4" s="1"/>
  <c r="V71" i="4"/>
  <c r="J37" i="13" s="1"/>
  <c r="L37" i="13" s="1"/>
  <c r="Z36" i="19"/>
  <c r="X49" i="19"/>
  <c r="V67" i="19"/>
  <c r="V20" i="19"/>
  <c r="W32" i="19"/>
  <c r="U57" i="19"/>
  <c r="Z81" i="4"/>
  <c r="Z68" i="4"/>
  <c r="V64" i="19"/>
  <c r="W29" i="19"/>
  <c r="Z60" i="4"/>
  <c r="V60" i="4"/>
  <c r="U64" i="4"/>
  <c r="Z29" i="19"/>
  <c r="X43" i="19"/>
  <c r="V58" i="19"/>
  <c r="W64" i="19"/>
  <c r="W26" i="19"/>
  <c r="W21" i="4"/>
  <c r="J59" i="4"/>
  <c r="Y49" i="19"/>
  <c r="Z58" i="4"/>
  <c r="V58" i="4"/>
  <c r="W42" i="4"/>
  <c r="X26" i="4"/>
  <c r="U60" i="4"/>
  <c r="Z68" i="19"/>
  <c r="Z28" i="19"/>
  <c r="X42" i="19"/>
  <c r="V57" i="19"/>
  <c r="W63" i="19"/>
  <c r="W25" i="19"/>
  <c r="W22" i="4"/>
  <c r="Z44" i="19"/>
  <c r="W48" i="19"/>
  <c r="V59" i="19"/>
  <c r="W27" i="19"/>
  <c r="Y44" i="19"/>
  <c r="Y67" i="4"/>
  <c r="Z49" i="4"/>
  <c r="V49" i="4"/>
  <c r="W35" i="4"/>
  <c r="U57" i="4"/>
  <c r="Z64" i="19"/>
  <c r="Z26" i="19"/>
  <c r="V47" i="19"/>
  <c r="W59" i="19"/>
  <c r="W23" i="19"/>
  <c r="U23" i="19"/>
  <c r="P51" i="4"/>
  <c r="Z67" i="4"/>
  <c r="V60" i="19"/>
  <c r="W68" i="19"/>
  <c r="W28" i="19"/>
  <c r="P35" i="4"/>
  <c r="Z64" i="4"/>
  <c r="W67" i="19"/>
  <c r="Z57" i="4"/>
  <c r="V57" i="4"/>
  <c r="U58" i="4"/>
  <c r="Z67" i="19"/>
  <c r="Z27" i="19"/>
  <c r="V49" i="19"/>
  <c r="W60" i="19"/>
  <c r="K63" i="4"/>
  <c r="V25" i="4"/>
  <c r="Z63" i="19"/>
  <c r="K23" i="28" s="1"/>
  <c r="W58" i="19"/>
  <c r="V37" i="19"/>
  <c r="K37" i="19"/>
  <c r="K41" i="19"/>
  <c r="P48" i="19"/>
  <c r="P50" i="19"/>
  <c r="P56" i="19"/>
  <c r="P44" i="19"/>
  <c r="P20" i="19"/>
  <c r="I20" i="19" s="1"/>
  <c r="Q20" i="19" s="1"/>
  <c r="R20" i="19" s="1"/>
  <c r="S20" i="19" s="1"/>
  <c r="P26" i="19"/>
  <c r="P42" i="19"/>
  <c r="I42" i="19" s="1"/>
  <c r="Q42" i="19" s="1"/>
  <c r="R42" i="19" s="1"/>
  <c r="S42" i="19" s="1"/>
  <c r="P67" i="19"/>
  <c r="I67" i="19" s="1"/>
  <c r="Q67" i="19" s="1"/>
  <c r="R67" i="19" s="1"/>
  <c r="S67" i="19" s="1"/>
  <c r="P29" i="19"/>
  <c r="P47" i="19"/>
  <c r="I47" i="19" s="1"/>
  <c r="Q47" i="19" s="1"/>
  <c r="K50" i="19"/>
  <c r="P63" i="19"/>
  <c r="K34" i="19"/>
  <c r="I34" i="19" s="1"/>
  <c r="P60" i="19"/>
  <c r="K27" i="19"/>
  <c r="V71" i="19"/>
  <c r="J36" i="28" s="1"/>
  <c r="L36" i="28" s="1"/>
  <c r="V50" i="19"/>
  <c r="J26" i="28" s="1"/>
  <c r="K36" i="19"/>
  <c r="P37" i="19"/>
  <c r="P41" i="19"/>
  <c r="P68" i="19"/>
  <c r="P21" i="19"/>
  <c r="P28" i="19"/>
  <c r="K43" i="19"/>
  <c r="I43" i="19" s="1"/>
  <c r="P25" i="19"/>
  <c r="P22" i="19"/>
  <c r="P35" i="19"/>
  <c r="P49" i="19"/>
  <c r="P64" i="19"/>
  <c r="V36" i="19"/>
  <c r="K48" i="19"/>
  <c r="K56" i="19"/>
  <c r="K22" i="19"/>
  <c r="I22" i="19" s="1"/>
  <c r="Q22" i="19" s="1"/>
  <c r="K44" i="19"/>
  <c r="I44" i="19" s="1"/>
  <c r="V41" i="19"/>
  <c r="J22" i="28" s="1"/>
  <c r="V56" i="19"/>
  <c r="J24" i="28" s="1"/>
  <c r="P36" i="19"/>
  <c r="K63" i="19"/>
  <c r="K29" i="19"/>
  <c r="P34" i="19"/>
  <c r="K21" i="19"/>
  <c r="P32" i="19"/>
  <c r="P59" i="19"/>
  <c r="I59" i="19" s="1"/>
  <c r="Q59" i="19" s="1"/>
  <c r="R59" i="19" s="1"/>
  <c r="S59" i="19" s="1"/>
  <c r="P27" i="19"/>
  <c r="K25" i="19"/>
  <c r="P40" i="19"/>
  <c r="P57" i="19"/>
  <c r="V48" i="19"/>
  <c r="V63" i="19"/>
  <c r="P23" i="19"/>
  <c r="P43" i="19"/>
  <c r="P58" i="19"/>
  <c r="I58" i="19" s="1"/>
  <c r="Q58" i="19" s="1"/>
  <c r="R58" i="19" s="1"/>
  <c r="I27" i="19"/>
  <c r="I37" i="19"/>
  <c r="Q37" i="19" s="1"/>
  <c r="R37" i="19" s="1"/>
  <c r="X37" i="19" s="1"/>
  <c r="I59" i="4"/>
  <c r="I32" i="19"/>
  <c r="Q32" i="19" s="1"/>
  <c r="R32" i="19" s="1"/>
  <c r="I40" i="19"/>
  <c r="Q40" i="19" s="1"/>
  <c r="L31" i="28"/>
  <c r="L34" i="28"/>
  <c r="I36" i="4"/>
  <c r="V36" i="4"/>
  <c r="P63" i="4"/>
  <c r="P50" i="4"/>
  <c r="P40" i="4"/>
  <c r="P36" i="4"/>
  <c r="H18" i="20"/>
  <c r="I18" i="20" s="1"/>
  <c r="L51" i="4"/>
  <c r="M81" i="4" s="1"/>
  <c r="V51" i="4"/>
  <c r="W51" i="4"/>
  <c r="J29" i="13" s="1"/>
  <c r="P81" i="4"/>
  <c r="W81" i="4"/>
  <c r="V81" i="4"/>
  <c r="F26" i="20"/>
  <c r="O51" i="19"/>
  <c r="W79" i="19" s="1"/>
  <c r="O79" i="19"/>
  <c r="L79" i="19"/>
  <c r="H26" i="20"/>
  <c r="I51" i="19" s="1"/>
  <c r="M68" i="4"/>
  <c r="I68" i="4" s="1"/>
  <c r="Q68" i="4" s="1"/>
  <c r="R68" i="4" s="1"/>
  <c r="J21" i="4"/>
  <c r="I21" i="4" s="1"/>
  <c r="M40" i="4"/>
  <c r="U40" i="4" s="1"/>
  <c r="G22" i="13" s="1"/>
  <c r="M37" i="4"/>
  <c r="U37" i="4" s="1"/>
  <c r="M36" i="4"/>
  <c r="M23" i="4"/>
  <c r="I23" i="4" s="1"/>
  <c r="Q23" i="4" s="1"/>
  <c r="M20" i="4"/>
  <c r="I20" i="4" s="1"/>
  <c r="Q20" i="4" s="1"/>
  <c r="R20" i="4" s="1"/>
  <c r="M56" i="4"/>
  <c r="U56" i="4" s="1"/>
  <c r="G24" i="13" s="1"/>
  <c r="M50" i="4"/>
  <c r="U50" i="4" s="1"/>
  <c r="G27" i="13" s="1"/>
  <c r="M44" i="4"/>
  <c r="M35" i="4"/>
  <c r="M25" i="4"/>
  <c r="L33" i="28"/>
  <c r="L32" i="28"/>
  <c r="J29" i="4"/>
  <c r="I29" i="4" s="1"/>
  <c r="Q29" i="4" s="1"/>
  <c r="R29" i="4" s="1"/>
  <c r="X29" i="4" s="1"/>
  <c r="H33" i="13" s="1"/>
  <c r="R40" i="19"/>
  <c r="S40" i="19" s="1"/>
  <c r="I26" i="20"/>
  <c r="M59" i="4"/>
  <c r="M34" i="4"/>
  <c r="I34" i="4" s="1"/>
  <c r="Q34" i="4" s="1"/>
  <c r="R34" i="4" s="1"/>
  <c r="S34" i="4" s="1"/>
  <c r="J27" i="4"/>
  <c r="I27" i="4" s="1"/>
  <c r="Q27" i="4" s="1"/>
  <c r="M28" i="4"/>
  <c r="I28" i="4" s="1"/>
  <c r="Q28" i="4" s="1"/>
  <c r="R28" i="4" s="1"/>
  <c r="M48" i="4"/>
  <c r="I48" i="4" s="1"/>
  <c r="Q48" i="4" s="1"/>
  <c r="R48" i="4" s="1"/>
  <c r="S48" i="4" s="1"/>
  <c r="M21" i="4"/>
  <c r="J40" i="4"/>
  <c r="I40" i="4" s="1"/>
  <c r="J37" i="4"/>
  <c r="I37" i="4" s="1"/>
  <c r="M63" i="4"/>
  <c r="U63" i="4" s="1"/>
  <c r="G23" i="13" s="1"/>
  <c r="M41" i="19"/>
  <c r="U41" i="19" s="1"/>
  <c r="G22" i="28" s="1"/>
  <c r="M64" i="4"/>
  <c r="I64" i="4" s="1"/>
  <c r="Q64" i="4" s="1"/>
  <c r="R64" i="4" s="1"/>
  <c r="M26" i="4"/>
  <c r="I26" i="4" s="1"/>
  <c r="Q26" i="4" s="1"/>
  <c r="M67" i="4"/>
  <c r="I67" i="4" s="1"/>
  <c r="Q67" i="4" s="1"/>
  <c r="R67" i="4" s="1"/>
  <c r="S67" i="4" s="1"/>
  <c r="M41" i="4"/>
  <c r="I41" i="4" s="1"/>
  <c r="Q41" i="4" s="1"/>
  <c r="J43" i="4"/>
  <c r="I43" i="4" s="1"/>
  <c r="M57" i="4"/>
  <c r="I57" i="4" s="1"/>
  <c r="Q57" i="4" s="1"/>
  <c r="R57" i="4" s="1"/>
  <c r="S57" i="4" s="1"/>
  <c r="J32" i="4"/>
  <c r="I32" i="4" s="1"/>
  <c r="M58" i="4"/>
  <c r="I58" i="4" s="1"/>
  <c r="Q58" i="4" s="1"/>
  <c r="R58" i="4" s="1"/>
  <c r="S58" i="4" s="1"/>
  <c r="M43" i="4"/>
  <c r="J50" i="4"/>
  <c r="I50" i="4" s="1"/>
  <c r="J47" i="4"/>
  <c r="I47" i="4" s="1"/>
  <c r="M32" i="4"/>
  <c r="Q32" i="4" s="1"/>
  <c r="R32" i="4" s="1"/>
  <c r="S32" i="4" s="1"/>
  <c r="J25" i="4"/>
  <c r="I25" i="4" s="1"/>
  <c r="Q25" i="4" s="1"/>
  <c r="M60" i="4"/>
  <c r="I60" i="4" s="1"/>
  <c r="Q60" i="4" s="1"/>
  <c r="M22" i="4"/>
  <c r="J44" i="4"/>
  <c r="I44" i="4" s="1"/>
  <c r="J22" i="4"/>
  <c r="I22" i="4" s="1"/>
  <c r="M49" i="4"/>
  <c r="I49" i="4" s="1"/>
  <c r="Q49" i="4" s="1"/>
  <c r="J63" i="4"/>
  <c r="I63" i="4" s="1"/>
  <c r="J56" i="4"/>
  <c r="I56" i="4" s="1"/>
  <c r="M47" i="4"/>
  <c r="U47" i="4" s="1"/>
  <c r="G26" i="13" s="1"/>
  <c r="R23" i="4"/>
  <c r="S23" i="4" s="1"/>
  <c r="S64" i="4"/>
  <c r="S42" i="4"/>
  <c r="R49" i="4"/>
  <c r="S49" i="4" s="1"/>
  <c r="S58" i="19"/>
  <c r="R41" i="4"/>
  <c r="S41" i="4" s="1"/>
  <c r="R47" i="19"/>
  <c r="S47" i="19" s="1"/>
  <c r="Q34" i="19"/>
  <c r="E26" i="20"/>
  <c r="E20" i="20"/>
  <c r="G20" i="20" s="1"/>
  <c r="H21" i="20"/>
  <c r="I21" i="20" s="1"/>
  <c r="H19" i="20"/>
  <c r="I19" i="20" s="1"/>
  <c r="E25" i="20"/>
  <c r="G25" i="20" s="1"/>
  <c r="H22" i="20"/>
  <c r="I22" i="20" s="1"/>
  <c r="E19" i="20"/>
  <c r="G19" i="20" s="1"/>
  <c r="E23" i="20"/>
  <c r="G23" i="20" s="1"/>
  <c r="I25" i="20"/>
  <c r="M51" i="19"/>
  <c r="U79" i="19" s="1"/>
  <c r="I79" i="19"/>
  <c r="I81" i="4"/>
  <c r="E22" i="20"/>
  <c r="G22" i="20" s="1"/>
  <c r="E18" i="20"/>
  <c r="G18" i="20" s="1"/>
  <c r="M79" i="19"/>
  <c r="J9" i="18"/>
  <c r="J9" i="7"/>
  <c r="G13" i="25"/>
  <c r="Z51" i="19"/>
  <c r="G17" i="30"/>
  <c r="Z36" i="4"/>
  <c r="X25" i="4"/>
  <c r="H28" i="13" s="1"/>
  <c r="U25" i="4"/>
  <c r="G28" i="13" s="1"/>
  <c r="Y21" i="4"/>
  <c r="W40" i="4"/>
  <c r="L34" i="13"/>
  <c r="Y25" i="4"/>
  <c r="I28" i="13" s="1"/>
  <c r="V29" i="4"/>
  <c r="J33" i="13" s="1"/>
  <c r="W25" i="4"/>
  <c r="X21" i="4"/>
  <c r="U44" i="4"/>
  <c r="G32" i="13" s="1"/>
  <c r="U27" i="4"/>
  <c r="U22" i="4"/>
  <c r="Y27" i="4"/>
  <c r="V22" i="4"/>
  <c r="W27" i="4"/>
  <c r="X22" i="4"/>
  <c r="Y22" i="4"/>
  <c r="V27" i="4"/>
  <c r="X59" i="4"/>
  <c r="H25" i="13" s="1"/>
  <c r="V56" i="4"/>
  <c r="U29" i="4"/>
  <c r="G33" i="13" s="1"/>
  <c r="L35" i="13"/>
  <c r="V21" i="4"/>
  <c r="U32" i="4"/>
  <c r="U21" i="4"/>
  <c r="G17" i="25"/>
  <c r="Z44" i="4"/>
  <c r="V47" i="4"/>
  <c r="W59" i="4"/>
  <c r="U59" i="4"/>
  <c r="G25" i="13" s="1"/>
  <c r="V40" i="4"/>
  <c r="J22" i="13" s="1"/>
  <c r="Z47" i="4"/>
  <c r="K26" i="13" s="1"/>
  <c r="Z59" i="4"/>
  <c r="K25" i="13" s="1"/>
  <c r="V44" i="4"/>
  <c r="J28" i="13"/>
  <c r="W50" i="4"/>
  <c r="J27" i="13" s="1"/>
  <c r="W63" i="4"/>
  <c r="X43" i="4"/>
  <c r="Y32" i="4"/>
  <c r="V63" i="4"/>
  <c r="J23" i="13" s="1"/>
  <c r="V32" i="4"/>
  <c r="W56" i="4"/>
  <c r="W32" i="4"/>
  <c r="X32" i="4"/>
  <c r="Y59" i="4"/>
  <c r="I25" i="13" s="1"/>
  <c r="V59" i="4"/>
  <c r="Z56" i="4"/>
  <c r="K24" i="13" s="1"/>
  <c r="U36" i="4"/>
  <c r="Y44" i="4"/>
  <c r="I32" i="13" s="1"/>
  <c r="V43" i="4"/>
  <c r="W37" i="4"/>
  <c r="U43" i="4"/>
  <c r="Y43" i="4"/>
  <c r="W44" i="4"/>
  <c r="J32" i="13" s="1"/>
  <c r="W36" i="4"/>
  <c r="X44" i="4"/>
  <c r="H32" i="13" s="1"/>
  <c r="Z43" i="4"/>
  <c r="Z37" i="4"/>
  <c r="V37" i="4"/>
  <c r="W43" i="4"/>
  <c r="R57" i="19" l="1"/>
  <c r="S57" i="19"/>
  <c r="R23" i="19"/>
  <c r="S23" i="19"/>
  <c r="R48" i="19"/>
  <c r="X48" i="19" s="1"/>
  <c r="H25" i="28" s="1"/>
  <c r="S48" i="19"/>
  <c r="Y48" i="19" s="1"/>
  <c r="I25" i="28" s="1"/>
  <c r="I56" i="19"/>
  <c r="Q56" i="19" s="1"/>
  <c r="R56" i="19" s="1"/>
  <c r="X56" i="19" s="1"/>
  <c r="H24" i="28" s="1"/>
  <c r="Q27" i="19"/>
  <c r="I64" i="19"/>
  <c r="Q64" i="19" s="1"/>
  <c r="Q44" i="19"/>
  <c r="I35" i="4"/>
  <c r="Q35" i="4" s="1"/>
  <c r="R35" i="4" s="1"/>
  <c r="S35" i="4" s="1"/>
  <c r="I35" i="19"/>
  <c r="Q35" i="19" s="1"/>
  <c r="R35" i="19" s="1"/>
  <c r="S35" i="19" s="1"/>
  <c r="Q36" i="4"/>
  <c r="R36" i="4" s="1"/>
  <c r="S36" i="4" s="1"/>
  <c r="Y36" i="4" s="1"/>
  <c r="W51" i="19"/>
  <c r="W74" i="19" s="1"/>
  <c r="J23" i="28"/>
  <c r="J25" i="28"/>
  <c r="M51" i="4"/>
  <c r="Q51" i="4" s="1"/>
  <c r="I68" i="19"/>
  <c r="Q68" i="19" s="1"/>
  <c r="R68" i="19" s="1"/>
  <c r="Q37" i="4"/>
  <c r="R37" i="4" s="1"/>
  <c r="X37" i="4" s="1"/>
  <c r="G26" i="20"/>
  <c r="Q40" i="4"/>
  <c r="R40" i="4" s="1"/>
  <c r="X40" i="4" s="1"/>
  <c r="H22" i="13" s="1"/>
  <c r="V51" i="19"/>
  <c r="V74" i="19" s="1"/>
  <c r="J24" i="18" s="1"/>
  <c r="Q43" i="19"/>
  <c r="R43" i="19" s="1"/>
  <c r="S43" i="19" s="1"/>
  <c r="I28" i="19"/>
  <c r="Q28" i="19" s="1"/>
  <c r="S32" i="19"/>
  <c r="I25" i="19"/>
  <c r="Q25" i="19" s="1"/>
  <c r="R25" i="19" s="1"/>
  <c r="J25" i="13"/>
  <c r="Q56" i="4"/>
  <c r="R56" i="4" s="1"/>
  <c r="I21" i="19"/>
  <c r="Q21" i="19" s="1"/>
  <c r="R21" i="19" s="1"/>
  <c r="S21" i="19" s="1"/>
  <c r="I29" i="19"/>
  <c r="Q29" i="19" s="1"/>
  <c r="R29" i="19" s="1"/>
  <c r="S29" i="19" s="1"/>
  <c r="I41" i="19"/>
  <c r="J26" i="13"/>
  <c r="Q63" i="4"/>
  <c r="R63" i="4" s="1"/>
  <c r="R22" i="19"/>
  <c r="S22" i="19"/>
  <c r="R44" i="19"/>
  <c r="S44" i="19"/>
  <c r="S63" i="4"/>
  <c r="Y63" i="4" s="1"/>
  <c r="I23" i="13" s="1"/>
  <c r="X63" i="4"/>
  <c r="H23" i="13" s="1"/>
  <c r="Q50" i="4"/>
  <c r="R50" i="4" s="1"/>
  <c r="Q21" i="4"/>
  <c r="S20" i="4"/>
  <c r="Q36" i="19"/>
  <c r="R36" i="19" s="1"/>
  <c r="X36" i="19" s="1"/>
  <c r="R64" i="19"/>
  <c r="S64" i="19" s="1"/>
  <c r="J24" i="13"/>
  <c r="S28" i="4"/>
  <c r="S68" i="4"/>
  <c r="S25" i="19"/>
  <c r="Q59" i="4"/>
  <c r="R59" i="4" s="1"/>
  <c r="S59" i="4" s="1"/>
  <c r="R26" i="19"/>
  <c r="S26" i="19" s="1"/>
  <c r="Q81" i="4"/>
  <c r="P51" i="19"/>
  <c r="Q51" i="19" s="1"/>
  <c r="R51" i="19" s="1"/>
  <c r="S51" i="19" s="1"/>
  <c r="P79" i="19"/>
  <c r="V79" i="19"/>
  <c r="Q44" i="4"/>
  <c r="R44" i="4" s="1"/>
  <c r="S44" i="4" s="1"/>
  <c r="Q47" i="4"/>
  <c r="R47" i="4" s="1"/>
  <c r="X47" i="4" s="1"/>
  <c r="H26" i="13" s="1"/>
  <c r="S56" i="4"/>
  <c r="Y56" i="4" s="1"/>
  <c r="I24" i="13" s="1"/>
  <c r="X56" i="4"/>
  <c r="H24" i="13" s="1"/>
  <c r="L24" i="13" s="1"/>
  <c r="X36" i="4"/>
  <c r="S50" i="19"/>
  <c r="Y50" i="19" s="1"/>
  <c r="I26" i="28" s="1"/>
  <c r="L26" i="28" s="1"/>
  <c r="Q43" i="4"/>
  <c r="Q41" i="19"/>
  <c r="R41" i="19" s="1"/>
  <c r="X41" i="19" s="1"/>
  <c r="H22" i="28" s="1"/>
  <c r="R60" i="4"/>
  <c r="S60" i="4" s="1"/>
  <c r="R27" i="19"/>
  <c r="S27" i="19" s="1"/>
  <c r="R27" i="4"/>
  <c r="S27" i="4" s="1"/>
  <c r="R26" i="4"/>
  <c r="S26" i="4" s="1"/>
  <c r="S63" i="19"/>
  <c r="Y63" i="19" s="1"/>
  <c r="I23" i="28" s="1"/>
  <c r="S37" i="19"/>
  <c r="Y37" i="19" s="1"/>
  <c r="S29" i="4"/>
  <c r="Y29" i="4" s="1"/>
  <c r="I33" i="13" s="1"/>
  <c r="L33" i="13" s="1"/>
  <c r="Q22" i="4"/>
  <c r="S56" i="19"/>
  <c r="Y56" i="19" s="1"/>
  <c r="I24" i="28" s="1"/>
  <c r="L24" i="28" s="1"/>
  <c r="U51" i="19"/>
  <c r="G28" i="28" s="1"/>
  <c r="R81" i="4"/>
  <c r="S81" i="4" s="1"/>
  <c r="R25" i="4"/>
  <c r="S25" i="4" s="1"/>
  <c r="R34" i="19"/>
  <c r="S34" i="19" s="1"/>
  <c r="Z74" i="19"/>
  <c r="J25" i="18" s="1"/>
  <c r="Z75" i="19" s="1"/>
  <c r="K28" i="28"/>
  <c r="K39" i="28" s="1"/>
  <c r="J23" i="18"/>
  <c r="K40" i="13"/>
  <c r="L28" i="13"/>
  <c r="L23" i="13"/>
  <c r="L25" i="13"/>
  <c r="V74" i="4"/>
  <c r="J24" i="7" s="1"/>
  <c r="Z74" i="4"/>
  <c r="J25" i="7" s="1"/>
  <c r="Z75" i="4" s="1"/>
  <c r="W74" i="4"/>
  <c r="J23" i="7" s="1"/>
  <c r="L32" i="13"/>
  <c r="S37" i="4" l="1"/>
  <c r="Y37" i="4" s="1"/>
  <c r="S36" i="19"/>
  <c r="Y36" i="19" s="1"/>
  <c r="R28" i="19"/>
  <c r="S28" i="19"/>
  <c r="J28" i="28"/>
  <c r="J39" i="28" s="1"/>
  <c r="L23" i="28"/>
  <c r="J40" i="13"/>
  <c r="U81" i="4"/>
  <c r="U51" i="4"/>
  <c r="S40" i="4"/>
  <c r="Y40" i="4" s="1"/>
  <c r="I22" i="13" s="1"/>
  <c r="L22" i="13" s="1"/>
  <c r="L25" i="28"/>
  <c r="S68" i="19"/>
  <c r="S50" i="4"/>
  <c r="Y50" i="4" s="1"/>
  <c r="I27" i="13" s="1"/>
  <c r="X50" i="4"/>
  <c r="H27" i="13" s="1"/>
  <c r="R21" i="4"/>
  <c r="S21" i="4"/>
  <c r="R22" i="4"/>
  <c r="S22" i="4" s="1"/>
  <c r="R43" i="4"/>
  <c r="S43" i="4" s="1"/>
  <c r="U74" i="19"/>
  <c r="J21" i="18" s="1"/>
  <c r="S41" i="19"/>
  <c r="Y41" i="19" s="1"/>
  <c r="I22" i="28" s="1"/>
  <c r="L22" i="28" s="1"/>
  <c r="S47" i="4"/>
  <c r="Y47" i="4" s="1"/>
  <c r="I26" i="13" s="1"/>
  <c r="L26" i="13" s="1"/>
  <c r="R51" i="4"/>
  <c r="S51" i="4"/>
  <c r="Y79" i="19"/>
  <c r="Y51" i="19"/>
  <c r="X79" i="19"/>
  <c r="X51" i="19"/>
  <c r="G39" i="28"/>
  <c r="G16" i="30"/>
  <c r="G16" i="25"/>
  <c r="U74" i="4" l="1"/>
  <c r="J21" i="7" s="1"/>
  <c r="G29" i="13"/>
  <c r="G40" i="13" s="1"/>
  <c r="L27" i="13"/>
  <c r="Y51" i="4"/>
  <c r="Y81" i="4"/>
  <c r="AA79" i="19"/>
  <c r="G27" i="18" s="1"/>
  <c r="X51" i="4"/>
  <c r="X81" i="4"/>
  <c r="H28" i="28"/>
  <c r="X74" i="19"/>
  <c r="AA51" i="19"/>
  <c r="I28" i="28"/>
  <c r="I39" i="28" s="1"/>
  <c r="Y74" i="19"/>
  <c r="J42" i="18" s="1"/>
  <c r="G31" i="30" s="1"/>
  <c r="AA81" i="4" l="1"/>
  <c r="G27" i="7" s="1"/>
  <c r="H29" i="13"/>
  <c r="AA51" i="4"/>
  <c r="AA52" i="4" s="1"/>
  <c r="X74" i="4"/>
  <c r="I29" i="13"/>
  <c r="I40" i="13" s="1"/>
  <c r="Y74" i="4"/>
  <c r="J22" i="18"/>
  <c r="Z76" i="19"/>
  <c r="H39" i="28"/>
  <c r="L28" i="28"/>
  <c r="L39" i="28" s="1"/>
  <c r="Z76" i="4" l="1"/>
  <c r="X75" i="4" s="1"/>
  <c r="J22" i="7"/>
  <c r="J42" i="7"/>
  <c r="G31" i="25" s="1"/>
  <c r="H40" i="13"/>
  <c r="L29" i="13"/>
  <c r="L40" i="13" s="1"/>
  <c r="V75" i="19"/>
  <c r="U75" i="19"/>
  <c r="X75" i="19"/>
  <c r="Y75" i="19"/>
  <c r="W75" i="19"/>
  <c r="E35" i="18"/>
  <c r="J35" i="18" s="1"/>
  <c r="G24" i="30" s="1"/>
  <c r="G15" i="30"/>
  <c r="Y75" i="4" l="1"/>
  <c r="G15" i="25"/>
  <c r="E35" i="7"/>
  <c r="J35" i="7" s="1"/>
  <c r="G24" i="25" s="1"/>
  <c r="W75" i="4"/>
  <c r="U75" i="4"/>
  <c r="V75" i="4"/>
  <c r="J36" i="18"/>
  <c r="E47" i="18" s="1"/>
  <c r="G35" i="30" s="1"/>
  <c r="G25" i="30"/>
  <c r="G27" i="30" s="1"/>
  <c r="G33" i="30" s="1"/>
  <c r="Z77" i="19"/>
  <c r="J36" i="7" l="1"/>
  <c r="E49" i="7" s="1"/>
  <c r="G37" i="25" s="1"/>
  <c r="J38" i="7"/>
  <c r="J45" i="7" s="1"/>
  <c r="E48" i="7"/>
  <c r="G36" i="25" s="1"/>
  <c r="E47" i="7"/>
  <c r="G35" i="25" s="1"/>
  <c r="E49" i="18"/>
  <c r="G37" i="30" s="1"/>
  <c r="Z77" i="4"/>
  <c r="G25" i="25"/>
  <c r="G27" i="25" s="1"/>
  <c r="G33" i="25" s="1"/>
  <c r="E48" i="18"/>
  <c r="G36" i="30" s="1"/>
  <c r="J38" i="18"/>
  <c r="J4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3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9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<sst xmlns="http://schemas.openxmlformats.org/spreadsheetml/2006/main" count="959" uniqueCount="435">
  <si>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</si>
  <si>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</si>
  <si>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</si>
  <si>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</si>
  <si>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</si>
  <si>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</si>
  <si>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</si>
  <si>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</si>
  <si>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</si>
  <si>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</si>
  <si>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</si>
  <si>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</si>
  <si>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</si>
  <si>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</si>
  <si>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</si>
  <si>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</si>
  <si>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</si>
  <si>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</si>
  <si>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</si>
  <si>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</si>
  <si>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</si>
  <si>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</si>
  <si>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</si>
  <si>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Soybeans</t>
  </si>
  <si>
    <t>Soybeans - 15" rows</t>
  </si>
  <si>
    <t>Soybeans - 30" rows</t>
  </si>
  <si>
    <t xml:space="preserve">Small Grains Drilled </t>
  </si>
  <si>
    <t>Planting (No-Till):</t>
  </si>
  <si>
    <t>Corn Planting (gen'l) - No-Till</t>
  </si>
  <si>
    <t>Grain Harvest:</t>
  </si>
  <si>
    <t>Combine Corn (per acre)</t>
  </si>
  <si>
    <t>Combine Soybeans</t>
  </si>
  <si>
    <t>Combine Small Grains</t>
  </si>
  <si>
    <t>Complete Planting and Harvest:</t>
  </si>
  <si>
    <t>Corn</t>
  </si>
  <si>
    <t>Fertilizer Application:</t>
  </si>
  <si>
    <t>Dry - Bulk (acre)</t>
  </si>
  <si>
    <t>Dry Fertilizer + Seed Broadcast</t>
  </si>
  <si>
    <t>Liquid Spray (acre)</t>
  </si>
  <si>
    <t>Anhydrous (acre)</t>
  </si>
  <si>
    <t>Lime- Lime, Deliver and Spread (ton)</t>
  </si>
  <si>
    <t>Chemical Control:</t>
  </si>
  <si>
    <t>Spraying (self-propelled)</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</si>
  <si>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</si>
  <si>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</si>
  <si>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</si>
  <si>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</si>
  <si>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</si>
  <si>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</si>
  <si>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</si>
  <si>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</si>
  <si>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</si>
  <si>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</si>
  <si>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</si>
  <si>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</si>
  <si>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</si>
  <si>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</si>
  <si>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</si>
  <si>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</si>
  <si>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</si>
  <si>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</si>
  <si>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</si>
  <si>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</si>
  <si>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</si>
  <si>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</si>
  <si>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</si>
  <si>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</si>
  <si>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</si>
  <si>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</si>
  <si>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</si>
  <si>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</si>
  <si>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</si>
  <si>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</si>
  <si>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</si>
  <si>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</si>
  <si>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</si>
  <si>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</si>
  <si>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</si>
  <si>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</si>
  <si>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</si>
  <si>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</si>
  <si>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</si>
  <si>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</si>
  <si>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</si>
  <si>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</si>
  <si>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</si>
  <si>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</si>
  <si>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</si>
  <si>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</si>
  <si>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</si>
  <si>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</si>
  <si>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</si>
  <si>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</si>
  <si>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</si>
  <si>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</si>
  <si>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</si>
  <si>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</si>
  <si>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</si>
  <si>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</si>
  <si>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</si>
  <si>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</si>
  <si>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</si>
  <si>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</si>
  <si>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</si>
  <si>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</si>
  <si>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</si>
  <si>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</si>
  <si>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</si>
  <si>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</si>
  <si>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</si>
  <si>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</si>
  <si>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</si>
  <si>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</si>
  <si>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</si>
  <si>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</si>
  <si>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</si>
  <si>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</si>
  <si>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</si>
  <si>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</si>
  <si>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</si>
  <si>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</si>
  <si>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</si>
  <si>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</si>
  <si>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</si>
  <si>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</si>
  <si>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</si>
  <si>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</si>
  <si>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</si>
  <si>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</si>
  <si>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</si>
  <si>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</si>
  <si>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</si>
  <si>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</si>
  <si>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</si>
  <si>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</si>
  <si>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Quant.</t>
  </si>
  <si>
    <t>per bu to cover variable costs</t>
  </si>
  <si>
    <t>per bu to cover all specified costs</t>
  </si>
  <si>
    <t>Ability to enter actual fertilzer and price in tons.</t>
  </si>
  <si>
    <t>Anhydrous Application</t>
  </si>
  <si>
    <t>Planting</t>
  </si>
  <si>
    <t>Extra Number of Labor Hours per Acre</t>
  </si>
  <si>
    <t>Footnotes:</t>
  </si>
  <si>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</si>
  <si>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</si>
  <si>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</si>
  <si>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</si>
  <si>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2</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</si>
  <si>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</si>
  <si>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</si>
  <si>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</si>
  <si>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</si>
  <si>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</si>
  <si>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</si>
  <si>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</si>
  <si>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</si>
  <si>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t>units</t>
  </si>
  <si>
    <t>Gov't Program Payment</t>
  </si>
  <si>
    <t>Crop Insurance Payment</t>
  </si>
  <si>
    <t>Associate Extension Professor</t>
  </si>
  <si>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</si>
  <si>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</si>
  <si>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</si>
  <si>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</si>
  <si>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</si>
  <si>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</si>
  <si>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</si>
  <si>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</si>
  <si>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</si>
  <si>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</si>
  <si>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</si>
  <si>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</si>
  <si>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</si>
  <si>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</si>
  <si>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</si>
  <si>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</si>
  <si>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</si>
  <si>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</si>
  <si>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</si>
  <si>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</si>
  <si>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</si>
  <si>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</si>
  <si>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</si>
  <si>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</si>
  <si>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</si>
  <si>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</si>
  <si>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N-P-K %</t>
  </si>
  <si>
    <t>N Fertilizers</t>
  </si>
  <si>
    <t>UREA</t>
  </si>
  <si>
    <t>46-0-0</t>
  </si>
  <si>
    <t>ANHYDROUS</t>
  </si>
  <si>
    <t>82-0-0</t>
  </si>
  <si>
    <t>UAN32</t>
  </si>
  <si>
    <t>32-0-0</t>
  </si>
  <si>
    <t>UAN28</t>
  </si>
  <si>
    <t>28-0-0</t>
  </si>
  <si>
    <t>K Fertilizers</t>
  </si>
  <si>
    <t>0-0-60</t>
  </si>
  <si>
    <t>SULFATE POTASH</t>
  </si>
  <si>
    <t>0-0-50</t>
  </si>
  <si>
    <t>P Fertilizers</t>
  </si>
  <si>
    <t>MAP</t>
  </si>
  <si>
    <t>11-52-0</t>
  </si>
  <si>
    <t>DAP</t>
  </si>
  <si>
    <t>18-46-0</t>
  </si>
  <si>
    <t>10-34-0</t>
  </si>
  <si>
    <t>NPK Fertilizers</t>
  </si>
  <si>
    <t>19-19-19</t>
  </si>
  <si>
    <t>Nitrogen</t>
  </si>
  <si>
    <t>Potassium</t>
  </si>
  <si>
    <t>Phosphorous</t>
  </si>
  <si>
    <t>POTASH</t>
  </si>
  <si>
    <t>Triple 19</t>
  </si>
  <si>
    <t>Calculate</t>
  </si>
  <si>
    <t>Enter</t>
  </si>
  <si>
    <t>Storage</t>
  </si>
  <si>
    <t>% Stored</t>
  </si>
  <si>
    <t>No-Till</t>
  </si>
  <si>
    <t>Conv. Tillage</t>
  </si>
  <si>
    <t>No Till</t>
  </si>
  <si>
    <t>Number of Trips</t>
  </si>
  <si>
    <t>Conv. Tillage Ex 1</t>
  </si>
  <si>
    <t>Conv. Tillage Ex. 2</t>
  </si>
  <si>
    <t>Trips per Acre</t>
  </si>
  <si>
    <t>Fuel</t>
  </si>
  <si>
    <t>Labor</t>
  </si>
  <si>
    <t>Machinery and Equipment Costs</t>
  </si>
  <si>
    <t>Conventional Tillage</t>
  </si>
  <si>
    <t>Additional Trucking</t>
  </si>
  <si>
    <t>Enter $/Bushel</t>
  </si>
  <si>
    <t>$/bu</t>
  </si>
  <si>
    <t>% Crop Share</t>
  </si>
  <si>
    <t xml:space="preserve">Trucking </t>
  </si>
  <si>
    <t>Enter $/bushel</t>
  </si>
  <si>
    <t>Separate Trucking</t>
  </si>
  <si>
    <t>Include Trucking in Machinery Costs</t>
  </si>
  <si>
    <t>Tillage</t>
  </si>
  <si>
    <t xml:space="preserve">Total </t>
  </si>
  <si>
    <t xml:space="preserve">Select how you would like to calculate land cost. </t>
  </si>
  <si>
    <t xml:space="preserve">Select if you would like to enter storage costs here or calculate them on a separate sheet. </t>
  </si>
  <si>
    <t>Use Calculator</t>
  </si>
  <si>
    <t># of Trips</t>
  </si>
  <si>
    <t>Land Cost</t>
  </si>
  <si>
    <t>Cash Rent</t>
  </si>
  <si>
    <t>Crop Share</t>
  </si>
  <si>
    <t>Select "Y" if you want your own labor to be a variable cost or "N" if you want it to be a fixed cost.</t>
  </si>
  <si>
    <t>Do Not Change</t>
  </si>
  <si>
    <t>Calculating Storage Costs</t>
  </si>
  <si>
    <t>Storage Period (months)</t>
  </si>
  <si>
    <t>Enter the number of months grain is expected to be stored.</t>
  </si>
  <si>
    <t>Additional Shrinkage</t>
  </si>
  <si>
    <t>Additional Handling</t>
  </si>
  <si>
    <t>Total Storage Cost</t>
  </si>
  <si>
    <t xml:space="preserve">   Cost $/bu</t>
  </si>
  <si>
    <t xml:space="preserve">   Cost $/acre</t>
  </si>
  <si>
    <t>$/Ton</t>
  </si>
  <si>
    <t>$/Unit</t>
  </si>
  <si>
    <t xml:space="preserve">If you enter $/ton and lbs/acre in this chart, remember to update the units and $/unit in the main budget based on the total shown above. </t>
  </si>
  <si>
    <t>This cell is used for the equations on the main budget.</t>
  </si>
  <si>
    <t>There is no way to 100% ensure that the include/separate dropdown list will be left on separate if the user enters $/bu</t>
  </si>
  <si>
    <t xml:space="preserve">This cell basically says that if the user chooses to enter, trucking will be separate </t>
  </si>
  <si>
    <t>If the user chooses to calculate, then the cell will be whatever they choose, include or separate</t>
  </si>
  <si>
    <t>Separate Trucking from Mach. Costs</t>
  </si>
  <si>
    <t>Avg distance miles (one way)</t>
  </si>
  <si>
    <t>Plow</t>
  </si>
  <si>
    <t xml:space="preserve">Corn Planting: Conventional </t>
  </si>
  <si>
    <t>Corn Planting: No-Till</t>
  </si>
  <si>
    <t>Combine Corn</t>
  </si>
  <si>
    <t>Fertilizer App. Dry Bulk</t>
  </si>
  <si>
    <t>Spraying</t>
  </si>
  <si>
    <t>Stalk Chopping</t>
  </si>
  <si>
    <t>For this chart, you can change the default number of trips in the cells with bold blue font.</t>
  </si>
  <si>
    <t>The second set of columns for no till and conventional tillage change depending on if the user selects "enter" or "use default"</t>
  </si>
  <si>
    <t xml:space="preserve">They are linked to the number of trips above in the large machinery costs chart. </t>
  </si>
  <si>
    <t>The cells with blue font are linked to the rows directly to the right</t>
  </si>
  <si>
    <t xml:space="preserve">**** The equations in this row are different than all of the rest. If the user seperates trucking costs on the corn budget, this $0s out. </t>
  </si>
  <si>
    <t xml:space="preserve">Trucking, if separate from other machinery costs, includes fixed costs. </t>
  </si>
  <si>
    <t>-</t>
  </si>
  <si>
    <t>Additional Labor</t>
  </si>
  <si>
    <t>Other Costs</t>
  </si>
  <si>
    <t>Trucking</t>
  </si>
  <si>
    <t>**** Remember to update the trucking row below (used for linking trucking costs to the Corn sheet) if any changes are made here.</t>
  </si>
  <si>
    <t># of Trips ENTERED</t>
  </si>
  <si>
    <t># of Trips CONV. DEFAULT</t>
  </si>
  <si>
    <t># of Trips NO-TILL DEFAULT</t>
  </si>
  <si>
    <t xml:space="preserve">Corn </t>
  </si>
  <si>
    <t>This includes depreciation, interest, and repairs.</t>
  </si>
  <si>
    <t xml:space="preserve">Other </t>
  </si>
  <si>
    <t>Storage Facility Costs</t>
  </si>
  <si>
    <t>Additional Drying</t>
  </si>
  <si>
    <t xml:space="preserve">Below commercial harvest %. </t>
  </si>
  <si>
    <t>these are now just sums</t>
  </si>
  <si>
    <t>add in another line here for soybeans, keep it so that they can enter the miles in two different places</t>
  </si>
  <si>
    <t>(Soybeans) Actual Distance and Cost</t>
  </si>
  <si>
    <t>(Corn) Actual Distance and Cost</t>
  </si>
  <si>
    <t>Combine</t>
  </si>
  <si>
    <t>Samantha Kindred</t>
  </si>
  <si>
    <t>Samantha.Kindred@uky.edu</t>
  </si>
  <si>
    <t>859-257-2996</t>
  </si>
  <si>
    <t>Extension Associate</t>
  </si>
  <si>
    <t>drop down list above. If the user chooses "N" for</t>
  </si>
  <si>
    <t>$/bu for trucking costs</t>
  </si>
  <si>
    <t xml:space="preserve">^the cell in yellow is the "Use Estimate" option for the </t>
  </si>
  <si>
    <t>calculating fertilizer costs then they are forced to enter</t>
  </si>
  <si>
    <t>Units/ Acre</t>
  </si>
  <si>
    <t>Lbs/ Acre</t>
  </si>
  <si>
    <t>tons</t>
  </si>
  <si>
    <r>
      <t>Summary Sheets:</t>
    </r>
    <r>
      <rPr>
        <sz val="10"/>
        <rFont val="Arial"/>
        <family val="2"/>
      </rPr>
      <t xml:space="preserve"> The summary sheet for both corn and soybeans shows a condensed version of the main budget, outlining costs and returns. No changes can been made to these sheets. </t>
    </r>
  </si>
  <si>
    <t xml:space="preserve">Enter average on-farm diesel fuel price expected for machinery operations.  </t>
  </si>
  <si>
    <t>Use Estimate Based on Mileage</t>
  </si>
  <si>
    <t>Interest on Grain Inventory</t>
  </si>
  <si>
    <t>Including cleaning bins, monitoring grain, insecticides, and insurance, etc..</t>
  </si>
  <si>
    <t>Depr &amp; Overhead</t>
  </si>
  <si>
    <t>Adjusted Units/Acre</t>
  </si>
  <si>
    <t>tons or lbs</t>
  </si>
  <si>
    <t>P</t>
  </si>
  <si>
    <t>K</t>
  </si>
  <si>
    <r>
      <t xml:space="preserve">Storage costs for </t>
    </r>
    <r>
      <rPr>
        <b/>
        <sz val="10"/>
        <rFont val="Arial"/>
        <family val="2"/>
      </rPr>
      <t>soybeans</t>
    </r>
    <r>
      <rPr>
        <sz val="10"/>
        <rFont val="Arial"/>
        <family val="2"/>
      </rPr>
      <t xml:space="preserve"> are not visible because user has selected to "Enter $/Bushel on the Soybeans sheet. </t>
    </r>
  </si>
  <si>
    <r>
      <t xml:space="preserve">Storage costs for </t>
    </r>
    <r>
      <rPr>
        <b/>
        <sz val="10"/>
        <rFont val="Arial"/>
        <family val="2"/>
      </rPr>
      <t>corn and soybeans</t>
    </r>
    <r>
      <rPr>
        <sz val="10"/>
        <rFont val="Arial"/>
        <family val="2"/>
      </rPr>
      <t xml:space="preserve"> are not visible because user has selected to "Enter $/Bushel" on both the Corn and Soybeans sheets. </t>
    </r>
  </si>
  <si>
    <t>Field Cultivation or Vertical Tillage</t>
  </si>
  <si>
    <t xml:space="preserve">Select an additional machinery operation or none. </t>
  </si>
  <si>
    <t>Herbicides/Insecticides/Fungicides</t>
  </si>
  <si>
    <t>Variable Machinery Costs</t>
  </si>
  <si>
    <t>Labor (Variable)</t>
  </si>
  <si>
    <t>Crop Insurance</t>
  </si>
  <si>
    <t>Labor (Fixed Only)</t>
  </si>
  <si>
    <t>Machinery Depreciation &amp; Overhead</t>
  </si>
  <si>
    <r>
      <t xml:space="preserve">Storage costs for </t>
    </r>
    <r>
      <rPr>
        <b/>
        <sz val="10"/>
        <rFont val="Arial"/>
        <family val="2"/>
      </rPr>
      <t>corn</t>
    </r>
    <r>
      <rPr>
        <sz val="10"/>
        <rFont val="Arial"/>
        <family val="2"/>
      </rPr>
      <t xml:space="preserve"> are not visible because user has selected to "Enter $/Bushel" on the Corn sheet. </t>
    </r>
  </si>
  <si>
    <t>Labor estimates only for actual operations listed and do not account for travel and down time or other farming operations.</t>
  </si>
  <si>
    <r>
      <t>Land Cost</t>
    </r>
    <r>
      <rPr>
        <vertAlign val="superscript"/>
        <sz val="10"/>
        <rFont val="Arial"/>
        <family val="2"/>
      </rPr>
      <t>3</t>
    </r>
  </si>
  <si>
    <t>1)</t>
  </si>
  <si>
    <t>2)</t>
  </si>
  <si>
    <t xml:space="preserve">See calculator to the right. Fertilizer types can be changed. </t>
  </si>
  <si>
    <t>Cover Crop Seed</t>
  </si>
  <si>
    <t xml:space="preserve">Tillage Type </t>
  </si>
  <si>
    <t>3)</t>
  </si>
  <si>
    <t>4)</t>
  </si>
  <si>
    <t>Includes owned and hired labor.</t>
  </si>
  <si>
    <t>Includes fuel and lube, repairs, custom work, and machinery rental.</t>
  </si>
  <si>
    <t xml:space="preserve">Includes owned and hired labor. </t>
  </si>
  <si>
    <t>Cover Crop: Drill</t>
  </si>
  <si>
    <t>Cover Crop: Broadcast</t>
  </si>
  <si>
    <t>Additional Tillage: Chisel Plow</t>
  </si>
  <si>
    <t>Additional Tillage: Disking</t>
  </si>
  <si>
    <t>Additional Tillage: Sub-Soiling</t>
  </si>
  <si>
    <t>Additional Tillage: None</t>
  </si>
  <si>
    <t>Conv</t>
  </si>
  <si>
    <t>default for above</t>
  </si>
  <si>
    <t>Use Defaults</t>
  </si>
  <si>
    <t>Cover Crop: None</t>
  </si>
  <si>
    <t>Stalk Chopping or Maint. Mowing</t>
  </si>
  <si>
    <t>Stalk Chopping or Maint. Mowing: None</t>
  </si>
  <si>
    <r>
      <rPr>
        <b/>
        <i/>
        <sz val="10"/>
        <rFont val="Arial"/>
        <family val="2"/>
      </rPr>
      <t xml:space="preserve">* </t>
    </r>
    <r>
      <rPr>
        <i/>
        <sz val="10"/>
        <rFont val="Arial"/>
        <family val="2"/>
      </rPr>
      <t xml:space="preserve">For Nitrogen, the fertilizer type and $/ton can be changed in the Corn sheet. </t>
    </r>
  </si>
  <si>
    <t>Broadcast</t>
  </si>
  <si>
    <t>** This cell is used for the equations on the main budget.</t>
  </si>
  <si>
    <t>** the cell in yellow is the "Use Estimate" option for the drop down list above. If the user chooses "N" for</t>
  </si>
  <si>
    <t>calculating fertilizer costs then they are forced to enter $/bu for trucking costs</t>
  </si>
  <si>
    <t xml:space="preserve">This cell says that if the user chooses to enter, trucking will be separate </t>
  </si>
  <si>
    <t>Things to remember when updating</t>
  </si>
  <si>
    <t xml:space="preserve">They are linked to multiple equations and conditional formatting. </t>
  </si>
  <si>
    <t>For brand new options this does not apply.</t>
  </si>
  <si>
    <t xml:space="preserve">To more easily see how a cell impacts others click on the Formula tab and then click Trace Dependents. </t>
  </si>
  <si>
    <t xml:space="preserve">Notes for future versions </t>
  </si>
  <si>
    <t xml:space="preserve">But when they separate it all the trucking costs go into one line under variable costs, which is impacting the operating interest. </t>
  </si>
  <si>
    <t>Ways to fix this are 1) add in a fixed trucking costs line 2) subtract the fixed trucking costs from the total for operating interest if they separate trucking from machinery costs. Preference? Other ideas?</t>
  </si>
  <si>
    <t xml:space="preserve">The difference in return above all specified costs is because when the user includes trucking in machinery costs then some of those go into fixed. </t>
  </si>
  <si>
    <t xml:space="preserve">Choose to use default number of trips or enter your own. </t>
  </si>
  <si>
    <t xml:space="preserve">Select no-till or conventional tillage. </t>
  </si>
  <si>
    <t xml:space="preserve">Select if you want to use the default number of trips or enter your own. </t>
  </si>
  <si>
    <t>Interest Rate (%)</t>
  </si>
  <si>
    <t>Fertilizer: Dry Broadcast or Liquid Spray</t>
  </si>
  <si>
    <t>Fertilizer: Anhydrous Application</t>
  </si>
  <si>
    <t>2020 Survey</t>
  </si>
  <si>
    <t>Pts Removed</t>
  </si>
  <si>
    <t>Select Fertilizer Type From Drop-Down Lists Below</t>
  </si>
  <si>
    <t>Fuel Inc. (was 5% originally)</t>
  </si>
  <si>
    <t>Labor Rate (from last Custom Survey)</t>
  </si>
  <si>
    <t>Labor Inc. actual operations (was 0%)</t>
  </si>
  <si>
    <t>Labor (hrs) Adj</t>
  </si>
  <si>
    <t>Fuel Adj</t>
  </si>
  <si>
    <t>Labor Adj</t>
  </si>
  <si>
    <t>Return Above  Variable Costs</t>
  </si>
  <si>
    <t>Fuel estimates only for actual operations listed and do not account for equipment travel, daily pickup use, etc.</t>
  </si>
  <si>
    <t xml:space="preserve">Additional Fuel </t>
  </si>
  <si>
    <t>Not a problem to adjust price</t>
  </si>
  <si>
    <t xml:space="preserve">Problem with adjusting yield is that cost change with the yield change. </t>
  </si>
  <si>
    <t>We talked about trucking being one</t>
  </si>
  <si>
    <t>I think storage might be the only other one by just looking at the main budget because those are the only two costs that are based on bushels</t>
  </si>
  <si>
    <t>Everything else is calculated on a per acre basis. So would yield impact any of those like seed, fertilizer, machinery costs?</t>
  </si>
  <si>
    <t xml:space="preserve">If they have a crop share that would change. </t>
  </si>
  <si>
    <t xml:space="preserve">Each sheet has it's respective drop down list options hidden at the bottom of the sheet. Make sure that changes to names are made in their respective linked cells. </t>
  </si>
  <si>
    <t xml:space="preserve">Some of the hidden cells are highlighted in yellow and have explanations next to them. These are used to simplify equations were multiple variables are involved. </t>
  </si>
  <si>
    <t xml:space="preserve">If new rows or columns are added remember to check the conditional formatting. Sometimes rules transfer when new columns or rows are added. </t>
  </si>
  <si>
    <t>Calculating Fuel and Labor Costs</t>
  </si>
  <si>
    <t>Repairs - "=IF(I21=D61,('Machinery Calculations (Corn)'!X74-(J28*'Machinery Calculations (Corn)'!B12)),G22)"</t>
  </si>
  <si>
    <t xml:space="preserve">   (These are the corn equations as an example, it also applies to Soybeans.)</t>
  </si>
  <si>
    <t>When Machinery Rental is added into the main Corn and Soybeans sheets it is simply added to the costs and doesn't impact the Repairs and Machinery Depreciation and Overhead</t>
  </si>
  <si>
    <t>Consider a sensitivity table, notes about this are on another hidden sheet</t>
  </si>
  <si>
    <t>Machinery Depreciation and Overhead - "=IF(I21=D61,'Machinery Calculations (Corn)'!Y74-(J28*(1-'Machinery Calculations (Corn)'!B12)),G42)"</t>
  </si>
  <si>
    <t>Due to the involvement the user now has in machinery costs (Custom Work Y/N, choosing Other costs, etc) this has been changed</t>
  </si>
  <si>
    <t>The Totals for Repairs and Machinery Depreciation and Overhead *used to* account for the Machinery Rental and "Repairs % of Other (Recommend 33%)" (located on each hidden Machinery Calculations sheet in row 12)</t>
  </si>
  <si>
    <t>Enter the interest rate for grain stored.</t>
  </si>
  <si>
    <t>** This cell is for conditional formatting for if the user chooses N for Machinery Costs</t>
  </si>
  <si>
    <t>This ensures that the place to enter $/bushel will still show up</t>
  </si>
  <si>
    <t>Additional Labor Hours and Fuel Usage</t>
  </si>
  <si>
    <t>Extra Fuel (Gallons per Acre)</t>
  </si>
  <si>
    <t>Extra Labor (Hours per Acre)</t>
  </si>
  <si>
    <t>Select "Enter Below" if you would like to change the defaults for additional labor hours or additional fuel usage.</t>
  </si>
  <si>
    <t>Per Acre</t>
  </si>
  <si>
    <r>
      <t>Additional Labor Hours (</t>
    </r>
    <r>
      <rPr>
        <i/>
        <sz val="10"/>
        <rFont val="Arial"/>
        <family val="2"/>
      </rPr>
      <t>change this above</t>
    </r>
    <r>
      <rPr>
        <sz val="10"/>
        <rFont val="Arial"/>
        <family val="2"/>
      </rPr>
      <t>)</t>
    </r>
  </si>
  <si>
    <r>
      <t>Additional Fuel Gallons (</t>
    </r>
    <r>
      <rPr>
        <i/>
        <sz val="10"/>
        <rFont val="Arial"/>
        <family val="2"/>
      </rPr>
      <t>change this above</t>
    </r>
    <r>
      <rPr>
        <sz val="10"/>
        <rFont val="Arial"/>
        <family val="2"/>
      </rPr>
      <t>)</t>
    </r>
  </si>
  <si>
    <t xml:space="preserve">The average on-farm diesel fuel price expected for machinery operations can be entered on the Machinery(Corn) sheet.  </t>
  </si>
  <si>
    <t xml:space="preserve">The operator labor rate can be changed on the Machinery(Corn) sheet. </t>
  </si>
  <si>
    <t xml:space="preserve">The hired labor rate can be changed on the Machinery(Corn) sheet. </t>
  </si>
  <si>
    <t xml:space="preserve">Change whether your own labor is a variable (Y) or fixed (N) cost on the Machinery(Corn) sheet. </t>
  </si>
  <si>
    <t xml:space="preserve">The % of hired labor hours of overall labor hours (operator + hired) can be changed on the Machinery(Corn) sheet. </t>
  </si>
  <si>
    <t>Fertilizer: Nitrogen</t>
  </si>
  <si>
    <t>Fertilizer: P,K, Lime and Other</t>
  </si>
  <si>
    <t>Grain Stored (%)</t>
  </si>
  <si>
    <t>Other Machinery Operations</t>
  </si>
  <si>
    <t>Percent Inc. or Dec. Machinery Costs</t>
  </si>
  <si>
    <t xml:space="preserve">Change the % of grain stored on the Corn &amp; Soybean sheets. </t>
  </si>
  <si>
    <t>Bushels per acre to cover variable costs.</t>
  </si>
  <si>
    <r>
      <t>Corn and Soybeans Sheets:</t>
    </r>
    <r>
      <rPr>
        <sz val="10"/>
        <rFont val="Arial"/>
        <family val="2"/>
      </rPr>
      <t xml:space="preserve"> These sheets are the main budget areas. Enter fertilizer (N,P,K) on an elemental (unit) basis. A fertilizer calculator is included that converts $/ton to $/unit.  You can also change the fertilizer type here. Be sure to update the cost and units for fertilizer in the main budget area if you use the fertilizer calculator.  You can estimate your machinery-related costs or have them calculated based on the publication "Custom Machinery Rates Applicable to Kentucky". To have them calculated, enter "Y" to the question "Calculate Machinery Related Costs?". You can also decide if they would like to enter or use the estimated trucking costs by using the drop down list beside the Trucking category. There is a drop down list next to Storage and Land Cost to select how you would like to enter or calculate those costs. Be sure to specify the average points per bushel that you will dry your corn down by. For storage, be sure to enter the % of grain stored.</t>
    </r>
  </si>
  <si>
    <r>
      <t>Machinery Options Evaluated</t>
    </r>
    <r>
      <rPr>
        <sz val="10"/>
        <rFont val="Arial"/>
        <family val="2"/>
      </rPr>
      <t>: No-Till Corn, Conventional Tillage Corn, Customized Corn, No-Till Soybeans, Conventional Soybeans, Customized Soybeans</t>
    </r>
  </si>
  <si>
    <r>
      <t>Storage Costs Sheet:</t>
    </r>
    <r>
      <rPr>
        <sz val="10"/>
        <rFont val="Arial"/>
        <family val="2"/>
      </rPr>
      <t xml:space="preserve"> On the Corn and Soybeans sheets, the user can choose to "Enter $/bu" or "Use Calculator" for storage costs. If the user selects "Use Calculator", then they enter the % of grain stored on the Corn or Soybean sheet and then calculate the rest of the costs, including storage facility costs, interest, additional drying, trucking, etc. on the Storage(Corn&amp;SB) sheet. </t>
    </r>
  </si>
  <si>
    <t>Customize Below</t>
  </si>
  <si>
    <r>
      <t>Per bushel price to cover</t>
    </r>
    <r>
      <rPr>
        <b/>
        <i/>
        <sz val="10"/>
        <rFont val="Arial"/>
        <family val="2"/>
      </rPr>
      <t xml:space="preserve"> variable</t>
    </r>
    <r>
      <rPr>
        <i/>
        <sz val="10"/>
        <rFont val="Arial"/>
        <family val="2"/>
      </rPr>
      <t xml:space="preserve"> costs.</t>
    </r>
  </si>
  <si>
    <r>
      <t xml:space="preserve">Per bushel price to cover </t>
    </r>
    <r>
      <rPr>
        <b/>
        <i/>
        <sz val="10"/>
        <rFont val="Arial"/>
        <family val="2"/>
      </rPr>
      <t>all specified</t>
    </r>
    <r>
      <rPr>
        <i/>
        <sz val="10"/>
        <rFont val="Arial"/>
        <family val="2"/>
      </rPr>
      <t xml:space="preserve"> costs.</t>
    </r>
  </si>
  <si>
    <r>
      <t>Per bushel price to cover</t>
    </r>
    <r>
      <rPr>
        <b/>
        <i/>
        <sz val="10"/>
        <rFont val="Arial"/>
        <family val="2"/>
      </rPr>
      <t xml:space="preserve"> all specified</t>
    </r>
    <r>
      <rPr>
        <i/>
        <sz val="10"/>
        <rFont val="Arial"/>
        <family val="2"/>
      </rPr>
      <t xml:space="preserve"> costs.</t>
    </r>
  </si>
  <si>
    <r>
      <t>Machinery Calculation Sheets</t>
    </r>
    <r>
      <rPr>
        <u/>
        <sz val="10"/>
        <rFont val="Arial"/>
        <family val="2"/>
      </rPr>
      <t>:</t>
    </r>
    <r>
      <rPr>
        <sz val="10"/>
        <rFont val="Arial"/>
        <family val="2"/>
      </rPr>
      <t xml:space="preserve"> There are separate machinery calculation sheets for corn and soybeans. The user can utilize these sheets if they want machinery-related costs calculated based on the publication "Custom Machinery Rates Applicable to Kentucky". These estimates include fuel, labor, repairs, overhead and depreciation. Otherwise, enter estimates directly in the budgets. When using this sheet, follow the specific instructions noted directly in the sheet itself. The user can change the base fuel price, labor rate(s), trucking distance, and other parameters in bold blue font. Except for additional labor, these can only be changed on the Machinery(Corn) sheet. The parameters on the Machinery(Soybeans) sheet are linked directly to the Machinery(Corn) sheet. User can select either no-till or conventional tillage for both corn and soybeans and if they would like to use the default number of trips per acre or enter their own. If they choose to enter the number of trips per acre, the user can also indicate if any of the machinery operations were custom work by selecting "Y" next to each machinery operation. User can increase or decrease the calculated rates by your specified percentage. To use these calculations, make sure to answer "Y" to the question "Calculate Machinery Related Costs" in each budget.     </t>
    </r>
  </si>
  <si>
    <r>
      <t>General Instructions:</t>
    </r>
    <r>
      <rPr>
        <sz val="10"/>
        <rFont val="Arial"/>
        <family val="2"/>
      </rPr>
      <t xml:space="preserve"> Cells with bold blue font can be changed by the user. This includes numerical and text cells. Cells with blue text and bold blue borders are drop down lists with several options for the user. You can only select one option from each list. Cells in black font are locked and cannot be changed. Notes are included in italics on the right side of each sheet. </t>
    </r>
  </si>
  <si>
    <t>Corn and Soybean Budgets 2022</t>
  </si>
  <si>
    <t>General Information</t>
  </si>
  <si>
    <t>Last Updated 3/22/2023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</si>
</sst>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164" formatCode="&quot;$&quot;#,##0.00"/>
    <numFmt numFmtId="165" formatCode="&quot;$&quot;#,##0"/>
    <numFmt numFmtId="166" formatCode="0.0%"/>
    <numFmt numFmtId="167" formatCode="#,##0.0"/>
    <numFmt numFmtId="168" formatCode="0.0"/>
    <numFmt numFmtId="169" formatCode="&quot;$&quot;#,##0.000"/>
    <numFmt numFmtId="170" formatCode="0.0000000"/>
    <numFmt numFmtId="171" formatCode="0.00000"/>
    <numFmt numFmtId="172" formatCode="0.000"/>
  </numFmts>
  <fonts count="29"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vertAlign val="superscript"/>
      <sz val="10"/>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
      <sz val="10"/>
      <name val="Arial"/>
      <family val="2"/>
    </font>
    <font>
      <sz val="10"/>
      <color rgb="FF0000FF"/>
      <name val="Arial"/>
      <family val="2"/>
    </font>
    <font>
      <b/>
      <sz val="10"/>
      <color rgb="FF0000FF"/>
      <name val="Arial"/>
      <family val="2"/>
    </font>
    <font>
      <b/>
      <sz val="9"/>
      <name val="Arial"/>
      <family val="2"/>
    </font>
    <font>
      <i/>
      <sz val="10"/>
      <color rgb="FFFF0000"/>
      <name val="Arial"/>
      <family val="2"/>
    </font>
    <font>
      <b/>
      <i/>
      <sz val="10"/>
      <color indexed="12"/>
      <name val="Arial"/>
      <family val="2"/>
    </font>
    <font>
      <b/>
      <i/>
      <sz val="10"/>
      <color rgb="FF0000FF"/>
      <name val="Arial"/>
      <family val="2"/>
    </font>
    <font>
      <b/>
      <sz val="11"/>
      <name val="Arial"/>
      <family val="2"/>
    </font>
  </fonts>
  <fills count="14">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rgb="FF000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1C9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rgb="FF0000FF"/>
      </right>
      <top style="thin">
        <color indexed="64"/>
      </top>
      <bottom style="thin">
        <color indexed="64"/>
      </bottom>
      <diagonal/>
    </border>
    <border>
      <left style="thin">
        <color rgb="FF0000FF"/>
      </left>
      <right style="thin">
        <color rgb="FF0000FF"/>
      </right>
      <top style="thin">
        <color indexed="64"/>
      </top>
      <bottom style="thin">
        <color indexed="64"/>
      </bottom>
      <diagonal/>
    </border>
    <border>
      <left style="thin">
        <color rgb="FF0000FF"/>
      </left>
      <right/>
      <top style="thin">
        <color indexed="64"/>
      </top>
      <bottom style="thin">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thin">
        <color rgb="FF0000FF"/>
      </left>
      <right style="medium">
        <color rgb="FF0000FF"/>
      </right>
      <top style="medium">
        <color rgb="FF0000FF"/>
      </top>
      <bottom style="medium">
        <color rgb="FF0000FF"/>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thin">
        <color indexed="64"/>
      </left>
      <right style="double">
        <color indexed="64"/>
      </right>
      <top style="thin">
        <color indexed="64"/>
      </top>
      <bottom style="thin">
        <color indexed="64"/>
      </bottom>
      <diagonal/>
    </border>
    <border>
      <left style="medium">
        <color rgb="FF0000FF"/>
      </left>
      <right style="medium">
        <color rgb="FF0000FF"/>
      </right>
      <top style="medium">
        <color rgb="FF0000FF"/>
      </top>
      <bottom/>
      <diagonal/>
    </border>
    <border>
      <left style="thin">
        <color indexed="64"/>
      </left>
      <right style="thin">
        <color indexed="64"/>
      </right>
      <top style="medium">
        <color rgb="FF0000FF"/>
      </top>
      <bottom style="thin">
        <color indexed="64"/>
      </bottom>
      <diagonal/>
    </border>
    <border>
      <left/>
      <right/>
      <top style="medium">
        <color rgb="FF0000FF"/>
      </top>
      <bottom/>
      <diagonal/>
    </border>
    <border>
      <left style="thin">
        <color indexed="64"/>
      </left>
      <right style="thin">
        <color indexed="64"/>
      </right>
      <top style="thin">
        <color indexed="64"/>
      </top>
      <bottom style="medium">
        <color rgb="FF0000FF"/>
      </bottom>
      <diagonal/>
    </border>
  </borders>
  <cellStyleXfs count="4">
    <xf numFmtId="0" fontId="0" fillId="0" borderId="0"/>
    <xf numFmtId="0" fontId="13" fillId="0" borderId="0" applyNumberFormat="0" applyFill="0" applyBorder="0" applyAlignment="0" applyProtection="0">
      <alignment vertical="top"/>
      <protection locked="0"/>
    </xf>
    <xf numFmtId="44" fontId="21" fillId="0" borderId="0" applyFont="0" applyFill="0" applyBorder="0" applyAlignment="0" applyProtection="0"/>
    <xf numFmtId="9" fontId="21" fillId="0" borderId="0" applyFont="0" applyFill="0" applyBorder="0" applyAlignment="0" applyProtection="0"/>
  </cellStyleXfs>
  <cellXfs count="529">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169" fontId="0" fillId="0" borderId="0" xfId="0" applyNumberFormat="1"/>
    <xf numFmtId="0" fontId="0" fillId="0" borderId="1" xfId="0" applyBorder="1" applyAlignment="1">
      <alignment wrapText="1"/>
    </xf>
    <xf numFmtId="0" fontId="3" fillId="0" borderId="1" xfId="0"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3" fillId="4" borderId="1" xfId="0" applyNumberFormat="1" applyFont="1" applyFill="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164" fontId="3" fillId="0" borderId="1" xfId="0" applyNumberFormat="1" applyFont="1" applyBorder="1"/>
    <xf numFmtId="0" fontId="0" fillId="0" borderId="0" xfId="0" applyAlignment="1">
      <alignment horizontal="center"/>
    </xf>
    <xf numFmtId="0" fontId="0" fillId="0" borderId="0" xfId="0" applyAlignment="1">
      <alignment wrapText="1"/>
    </xf>
    <xf numFmtId="0" fontId="0" fillId="0" borderId="1" xfId="0" applyBorder="1" applyAlignment="1">
      <alignment horizontal="center" wrapText="1"/>
    </xf>
    <xf numFmtId="1" fontId="1" fillId="0" borderId="1" xfId="0" applyNumberFormat="1" applyFont="1" applyBorder="1"/>
    <xf numFmtId="1" fontId="17" fillId="0" borderId="1" xfId="0" applyNumberFormat="1" applyFont="1" applyBorder="1"/>
    <xf numFmtId="168" fontId="18" fillId="0" borderId="1" xfId="0" applyNumberFormat="1" applyFont="1" applyBorder="1"/>
    <xf numFmtId="168" fontId="17" fillId="0" borderId="1" xfId="0" applyNumberFormat="1" applyFont="1" applyBorder="1"/>
    <xf numFmtId="9" fontId="18" fillId="0" borderId="1" xfId="0" applyNumberFormat="1" applyFont="1" applyBorder="1"/>
    <xf numFmtId="9" fontId="17" fillId="0" borderId="1" xfId="0" applyNumberFormat="1" applyFont="1" applyBorder="1"/>
    <xf numFmtId="1" fontId="18" fillId="0" borderId="1" xfId="0" applyNumberFormat="1" applyFont="1" applyBorder="1"/>
    <xf numFmtId="164" fontId="18" fillId="0" borderId="1" xfId="0" applyNumberFormat="1" applyFont="1" applyBorder="1"/>
    <xf numFmtId="1" fontId="1" fillId="0" borderId="0" xfId="0" applyNumberFormat="1" applyFont="1"/>
    <xf numFmtId="1" fontId="17" fillId="0" borderId="0" xfId="0" applyNumberFormat="1" applyFont="1"/>
    <xf numFmtId="0" fontId="19"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17" fillId="6" borderId="1" xfId="0" applyNumberFormat="1" applyFont="1" applyFill="1" applyBorder="1"/>
    <xf numFmtId="164" fontId="1" fillId="0" borderId="1" xfId="0" applyNumberFormat="1" applyFont="1" applyBorder="1"/>
    <xf numFmtId="0" fontId="3" fillId="6" borderId="0" xfId="0" applyFont="1" applyFill="1"/>
    <xf numFmtId="0" fontId="20"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 fontId="4" fillId="6" borderId="0" xfId="0" applyNumberFormat="1" applyFont="1" applyFill="1"/>
    <xf numFmtId="0" fontId="0" fillId="6" borderId="1" xfId="0" applyFill="1" applyBorder="1"/>
    <xf numFmtId="0" fontId="3" fillId="6" borderId="1" xfId="0" applyFont="1" applyFill="1" applyBorder="1"/>
    <xf numFmtId="164" fontId="0" fillId="6" borderId="1" xfId="0" applyNumberFormat="1" applyFill="1" applyBorder="1"/>
    <xf numFmtId="0" fontId="3" fillId="0" borderId="1" xfId="0" applyFont="1" applyBorder="1" applyAlignment="1">
      <alignment horizontal="center" vertical="center" wrapText="1"/>
    </xf>
    <xf numFmtId="168" fontId="1" fillId="4" borderId="1" xfId="0" applyNumberFormat="1" applyFont="1" applyFill="1" applyBorder="1" applyAlignment="1">
      <alignment horizontal="center"/>
    </xf>
    <xf numFmtId="0" fontId="2" fillId="0" borderId="0" xfId="0" applyFont="1"/>
    <xf numFmtId="164" fontId="3" fillId="0" borderId="0" xfId="0" applyNumberFormat="1" applyFont="1"/>
    <xf numFmtId="0" fontId="0" fillId="7" borderId="1" xfId="0" applyFill="1" applyBorder="1"/>
    <xf numFmtId="168" fontId="3" fillId="0" borderId="0" xfId="0" applyNumberFormat="1" applyFont="1" applyAlignment="1">
      <alignment horizontal="left"/>
    </xf>
    <xf numFmtId="168" fontId="23" fillId="0" borderId="1" xfId="0" applyNumberFormat="1" applyFont="1" applyBorder="1" applyAlignment="1">
      <alignment horizontal="center"/>
    </xf>
    <xf numFmtId="168" fontId="23" fillId="6" borderId="1" xfId="0" applyNumberFormat="1" applyFont="1" applyFill="1" applyBorder="1" applyAlignment="1">
      <alignment horizontal="center"/>
    </xf>
    <xf numFmtId="9" fontId="1" fillId="0" borderId="1" xfId="3" applyFont="1" applyBorder="1" applyAlignment="1">
      <alignment horizontal="center"/>
    </xf>
    <xf numFmtId="168" fontId="1" fillId="6" borderId="1" xfId="0" applyNumberFormat="1" applyFont="1" applyFill="1" applyBorder="1" applyAlignment="1">
      <alignment horizontal="center"/>
    </xf>
    <xf numFmtId="164" fontId="5" fillId="0" borderId="1" xfId="0" applyNumberFormat="1" applyFont="1" applyBorder="1" applyAlignment="1">
      <alignment horizontal="center"/>
    </xf>
    <xf numFmtId="164" fontId="1" fillId="0" borderId="1" xfId="0" applyNumberFormat="1" applyFont="1" applyBorder="1" applyAlignment="1">
      <alignment horizontal="center"/>
    </xf>
    <xf numFmtId="0" fontId="2" fillId="0" borderId="1" xfId="0" applyFont="1" applyBorder="1" applyAlignment="1">
      <alignment horizontal="center"/>
    </xf>
    <xf numFmtId="9" fontId="1" fillId="0" borderId="1" xfId="0" applyNumberFormat="1" applyFont="1" applyBorder="1" applyAlignment="1">
      <alignment horizontal="center"/>
    </xf>
    <xf numFmtId="9" fontId="5" fillId="0" borderId="1" xfId="0" applyNumberFormat="1" applyFont="1" applyBorder="1"/>
    <xf numFmtId="2" fontId="1" fillId="0" borderId="1" xfId="0" applyNumberFormat="1" applyFont="1" applyBorder="1" applyAlignment="1">
      <alignment horizontal="center"/>
    </xf>
    <xf numFmtId="164" fontId="1" fillId="7" borderId="1" xfId="0" applyNumberFormat="1" applyFont="1" applyFill="1" applyBorder="1" applyAlignment="1">
      <alignment horizontal="center"/>
    </xf>
    <xf numFmtId="0" fontId="0" fillId="7" borderId="0" xfId="0" applyFill="1"/>
    <xf numFmtId="9" fontId="1" fillId="7" borderId="1" xfId="0" applyNumberFormat="1" applyFont="1" applyFill="1" applyBorder="1" applyAlignment="1">
      <alignment horizontal="center"/>
    </xf>
    <xf numFmtId="1" fontId="1" fillId="7" borderId="1" xfId="0" applyNumberFormat="1" applyFont="1" applyFill="1" applyBorder="1" applyAlignment="1">
      <alignment horizontal="center"/>
    </xf>
    <xf numFmtId="9" fontId="5" fillId="7" borderId="1" xfId="0" applyNumberFormat="1" applyFont="1" applyFill="1" applyBorder="1"/>
    <xf numFmtId="9" fontId="5" fillId="7" borderId="2" xfId="0" applyNumberFormat="1" applyFont="1" applyFill="1" applyBorder="1"/>
    <xf numFmtId="168" fontId="1" fillId="0" borderId="1" xfId="0" applyNumberFormat="1" applyFont="1" applyBorder="1" applyAlignment="1">
      <alignment horizontal="center"/>
    </xf>
    <xf numFmtId="2" fontId="1" fillId="7" borderId="1" xfId="0" applyNumberFormat="1" applyFont="1" applyFill="1" applyBorder="1" applyAlignment="1">
      <alignment horizontal="center"/>
    </xf>
    <xf numFmtId="0" fontId="1" fillId="0" borderId="0" xfId="0" applyFont="1" applyAlignment="1">
      <alignment horizontal="center" vertical="center"/>
    </xf>
    <xf numFmtId="165" fontId="3" fillId="0" borderId="1" xfId="0" applyNumberFormat="1" applyFont="1" applyBorder="1" applyAlignment="1">
      <alignment horizontal="center" vertical="center" wrapText="1"/>
    </xf>
    <xf numFmtId="9" fontId="1" fillId="0" borderId="1" xfId="3" applyFont="1" applyFill="1" applyBorder="1" applyAlignment="1">
      <alignment horizontal="center"/>
    </xf>
    <xf numFmtId="168" fontId="1" fillId="8" borderId="1" xfId="0" applyNumberFormat="1" applyFont="1" applyFill="1" applyBorder="1" applyAlignment="1">
      <alignment horizontal="center"/>
    </xf>
    <xf numFmtId="1" fontId="5" fillId="8" borderId="1" xfId="0" applyNumberFormat="1" applyFont="1" applyFill="1" applyBorder="1" applyAlignment="1">
      <alignment horizontal="center"/>
    </xf>
    <xf numFmtId="168" fontId="5" fillId="8" borderId="1" xfId="0" applyNumberFormat="1" applyFont="1" applyFill="1" applyBorder="1" applyAlignment="1">
      <alignment horizontal="center"/>
    </xf>
    <xf numFmtId="1" fontId="5" fillId="0" borderId="1" xfId="0" applyNumberFormat="1" applyFont="1" applyBorder="1" applyAlignment="1">
      <alignment horizontal="center"/>
    </xf>
    <xf numFmtId="168" fontId="5" fillId="0" borderId="1" xfId="0" applyNumberFormat="1" applyFont="1" applyBorder="1" applyAlignment="1">
      <alignment horizontal="center"/>
    </xf>
    <xf numFmtId="1" fontId="1" fillId="0" borderId="1" xfId="0" applyNumberFormat="1" applyFont="1" applyBorder="1" applyAlignment="1">
      <alignment horizontal="center" vertical="center" wrapText="1"/>
    </xf>
    <xf numFmtId="0" fontId="13" fillId="9" borderId="0" xfId="1" applyFill="1" applyAlignment="1" applyProtection="1"/>
    <xf numFmtId="0" fontId="0" fillId="0" borderId="4" xfId="0" applyBorder="1"/>
    <xf numFmtId="0" fontId="0" fillId="0" borderId="3" xfId="0" applyBorder="1"/>
    <xf numFmtId="0" fontId="0" fillId="0" borderId="11" xfId="0" applyBorder="1"/>
    <xf numFmtId="0" fontId="0" fillId="0" borderId="1" xfId="0" applyBorder="1" applyAlignment="1">
      <alignment horizontal="center"/>
    </xf>
    <xf numFmtId="0" fontId="0" fillId="0" borderId="5" xfId="0" applyBorder="1"/>
    <xf numFmtId="9" fontId="5" fillId="6" borderId="1" xfId="0" applyNumberFormat="1" applyFont="1" applyFill="1" applyBorder="1"/>
    <xf numFmtId="164" fontId="5" fillId="6" borderId="1" xfId="0" applyNumberFormat="1" applyFont="1" applyFill="1" applyBorder="1"/>
    <xf numFmtId="9" fontId="5" fillId="6" borderId="1" xfId="0" applyNumberFormat="1" applyFont="1" applyFill="1" applyBorder="1" applyAlignment="1">
      <alignment horizontal="center"/>
    </xf>
    <xf numFmtId="164" fontId="4" fillId="6" borderId="0" xfId="0" applyNumberFormat="1" applyFont="1" applyFill="1"/>
    <xf numFmtId="164" fontId="4" fillId="6" borderId="1" xfId="0" applyNumberFormat="1" applyFont="1" applyFill="1" applyBorder="1"/>
    <xf numFmtId="0" fontId="1" fillId="6" borderId="1" xfId="0" applyFont="1" applyFill="1" applyBorder="1" applyAlignment="1">
      <alignment horizontal="center" wrapText="1"/>
    </xf>
    <xf numFmtId="4" fontId="3" fillId="6" borderId="1" xfId="0" applyNumberFormat="1" applyFont="1" applyFill="1" applyBorder="1"/>
    <xf numFmtId="1" fontId="5" fillId="11" borderId="1" xfId="0" applyNumberFormat="1" applyFont="1" applyFill="1" applyBorder="1" applyAlignment="1">
      <alignment horizontal="center"/>
    </xf>
    <xf numFmtId="164" fontId="5" fillId="11" borderId="1" xfId="0" applyNumberFormat="1" applyFont="1" applyFill="1" applyBorder="1" applyAlignment="1">
      <alignment horizontal="center"/>
    </xf>
    <xf numFmtId="164" fontId="4" fillId="11" borderId="1" xfId="0" applyNumberFormat="1" applyFont="1" applyFill="1" applyBorder="1"/>
    <xf numFmtId="2" fontId="3" fillId="11" borderId="1" xfId="0" applyNumberFormat="1" applyFont="1" applyFill="1" applyBorder="1"/>
    <xf numFmtId="164" fontId="0" fillId="11" borderId="1" xfId="0" applyNumberFormat="1" applyFill="1" applyBorder="1"/>
    <xf numFmtId="4" fontId="3" fillId="11" borderId="1" xfId="0" applyNumberFormat="1" applyFont="1" applyFill="1" applyBorder="1"/>
    <xf numFmtId="0" fontId="0" fillId="11" borderId="1" xfId="0" applyFill="1" applyBorder="1"/>
    <xf numFmtId="0" fontId="5" fillId="0" borderId="1" xfId="0"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2" fontId="5" fillId="0" borderId="1" xfId="0" applyNumberFormat="1" applyFont="1" applyBorder="1" applyAlignment="1" applyProtection="1">
      <alignment vertical="center"/>
      <protection locked="0"/>
    </xf>
    <xf numFmtId="0" fontId="20" fillId="0" borderId="0" xfId="0" applyFont="1" applyAlignment="1">
      <alignment vertical="center"/>
    </xf>
    <xf numFmtId="168" fontId="5" fillId="0" borderId="1" xfId="0" applyNumberFormat="1" applyFont="1" applyBorder="1" applyAlignment="1" applyProtection="1">
      <alignment vertical="center"/>
      <protection locked="0"/>
    </xf>
    <xf numFmtId="164" fontId="5" fillId="8" borderId="2" xfId="0" applyNumberFormat="1" applyFont="1" applyFill="1" applyBorder="1" applyAlignment="1" applyProtection="1">
      <alignment horizontal="right" vertical="center"/>
      <protection locked="0"/>
    </xf>
    <xf numFmtId="164" fontId="23" fillId="0" borderId="2" xfId="0" applyNumberFormat="1" applyFont="1" applyBorder="1" applyAlignment="1" applyProtection="1">
      <alignment horizontal="right" vertical="center"/>
      <protection locked="0"/>
    </xf>
    <xf numFmtId="167" fontId="5" fillId="0" borderId="1" xfId="0" applyNumberFormat="1" applyFont="1" applyBorder="1" applyAlignment="1" applyProtection="1">
      <alignment horizontal="center" vertical="center"/>
      <protection locked="0"/>
    </xf>
    <xf numFmtId="9" fontId="5" fillId="0" borderId="1" xfId="3" applyFont="1" applyFill="1" applyBorder="1" applyAlignment="1" applyProtection="1">
      <alignment horizontal="center" vertical="center"/>
      <protection locked="0"/>
    </xf>
    <xf numFmtId="166" fontId="5" fillId="0" borderId="1" xfId="0" applyNumberFormat="1" applyFont="1" applyBorder="1" applyAlignment="1" applyProtection="1">
      <alignment vertical="center"/>
      <protection locked="0"/>
    </xf>
    <xf numFmtId="1" fontId="5" fillId="0" borderId="1" xfId="0" applyNumberFormat="1" applyFont="1" applyBorder="1" applyAlignment="1" applyProtection="1">
      <alignment horizontal="center" vertical="center"/>
      <protection locked="0"/>
    </xf>
    <xf numFmtId="0" fontId="3" fillId="0" borderId="0" xfId="0" applyFont="1" applyAlignment="1">
      <alignment vertical="center"/>
    </xf>
    <xf numFmtId="1" fontId="5" fillId="0" borderId="1" xfId="0" applyNumberFormat="1" applyFont="1" applyBorder="1" applyAlignment="1" applyProtection="1">
      <alignment vertical="center"/>
      <protection locked="0"/>
    </xf>
    <xf numFmtId="0" fontId="0" fillId="0" borderId="1" xfId="0" applyBorder="1" applyAlignment="1">
      <alignment horizontal="center" vertical="center" wrapText="1"/>
    </xf>
    <xf numFmtId="0" fontId="0" fillId="12" borderId="1" xfId="0" applyFill="1" applyBorder="1" applyAlignment="1">
      <alignment horizontal="center"/>
    </xf>
    <xf numFmtId="0" fontId="0" fillId="12" borderId="1" xfId="0" applyFill="1" applyBorder="1"/>
    <xf numFmtId="0" fontId="0" fillId="0" borderId="3" xfId="0" applyBorder="1" applyAlignment="1">
      <alignment horizontal="center" vertical="center" wrapText="1"/>
    </xf>
    <xf numFmtId="0" fontId="0" fillId="0" borderId="26" xfId="0" applyBorder="1" applyAlignment="1">
      <alignment horizontal="center" vertical="center" wrapText="1"/>
    </xf>
    <xf numFmtId="164" fontId="0" fillId="0" borderId="3" xfId="0" applyNumberFormat="1" applyBorder="1" applyAlignment="1">
      <alignment horizontal="center"/>
    </xf>
    <xf numFmtId="0" fontId="0" fillId="0" borderId="26" xfId="0" applyBorder="1"/>
    <xf numFmtId="164" fontId="0" fillId="12" borderId="3" xfId="0" applyNumberFormat="1" applyFill="1" applyBorder="1" applyAlignment="1">
      <alignment horizontal="center"/>
    </xf>
    <xf numFmtId="0" fontId="0" fillId="12" borderId="26" xfId="0" applyFill="1" applyBorder="1"/>
    <xf numFmtId="2" fontId="3" fillId="6" borderId="1" xfId="0" applyNumberFormat="1" applyFont="1" applyFill="1" applyBorder="1"/>
    <xf numFmtId="168" fontId="5" fillId="6" borderId="1" xfId="0" applyNumberFormat="1" applyFont="1" applyFill="1" applyBorder="1" applyAlignment="1">
      <alignment horizontal="center"/>
    </xf>
    <xf numFmtId="1" fontId="5" fillId="6" borderId="1" xfId="0" applyNumberFormat="1" applyFont="1" applyFill="1" applyBorder="1" applyAlignment="1">
      <alignment horizontal="center"/>
    </xf>
    <xf numFmtId="164" fontId="5" fillId="6" borderId="1" xfId="0" applyNumberFormat="1" applyFont="1" applyFill="1" applyBorder="1" applyAlignment="1">
      <alignment horizontal="center"/>
    </xf>
    <xf numFmtId="0" fontId="0" fillId="9" borderId="0" xfId="0" applyFill="1"/>
    <xf numFmtId="0" fontId="3" fillId="9" borderId="0" xfId="0" applyFont="1" applyFill="1"/>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164" fontId="3" fillId="0" borderId="1" xfId="0" applyNumberFormat="1" applyFont="1" applyBorder="1" applyAlignment="1">
      <alignment vertical="center"/>
    </xf>
    <xf numFmtId="164" fontId="9" fillId="0" borderId="1" xfId="0" applyNumberFormat="1" applyFont="1" applyBorder="1" applyAlignment="1">
      <alignment vertical="center"/>
    </xf>
    <xf numFmtId="164" fontId="0" fillId="0" borderId="0" xfId="0" applyNumberFormat="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6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165" fontId="23" fillId="0" borderId="0" xfId="0" applyNumberFormat="1" applyFont="1" applyAlignment="1">
      <alignment horizontal="center" vertical="center"/>
    </xf>
    <xf numFmtId="1" fontId="23" fillId="0" borderId="0" xfId="0" applyNumberFormat="1" applyFont="1" applyAlignment="1">
      <alignment horizontal="center" vertical="center"/>
    </xf>
    <xf numFmtId="164" fontId="1" fillId="0" borderId="0" xfId="0" applyNumberFormat="1" applyFont="1" applyAlignment="1">
      <alignment horizontal="center" vertical="center"/>
    </xf>
    <xf numFmtId="0" fontId="0" fillId="8" borderId="1" xfId="0" applyFill="1" applyBorder="1" applyAlignment="1">
      <alignment vertical="center"/>
    </xf>
    <xf numFmtId="164" fontId="0" fillId="8" borderId="3" xfId="0" applyNumberFormat="1" applyFill="1" applyBorder="1" applyAlignment="1">
      <alignment vertical="center"/>
    </xf>
    <xf numFmtId="164" fontId="3" fillId="0" borderId="0" xfId="0" applyNumberFormat="1" applyFont="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vertical="center"/>
    </xf>
    <xf numFmtId="164" fontId="1" fillId="0" borderId="2" xfId="0" applyNumberFormat="1" applyFont="1" applyBorder="1" applyAlignment="1">
      <alignment horizontal="right" vertical="center"/>
    </xf>
    <xf numFmtId="164" fontId="20" fillId="0" borderId="0" xfId="0" applyNumberFormat="1" applyFont="1" applyAlignment="1">
      <alignment vertical="center"/>
    </xf>
    <xf numFmtId="169" fontId="0" fillId="0" borderId="0" xfId="0" applyNumberForma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3" fillId="0" borderId="0" xfId="0" applyFont="1" applyAlignment="1">
      <alignment vertical="center"/>
    </xf>
    <xf numFmtId="0" fontId="23" fillId="0" borderId="0" xfId="0" applyFont="1" applyAlignment="1">
      <alignment horizontal="left" vertical="center"/>
    </xf>
    <xf numFmtId="165" fontId="0" fillId="0" borderId="1" xfId="0" applyNumberFormat="1" applyBorder="1" applyAlignment="1">
      <alignment vertical="center"/>
    </xf>
    <xf numFmtId="165" fontId="8" fillId="10" borderId="1" xfId="0" applyNumberFormat="1" applyFont="1" applyFill="1" applyBorder="1" applyAlignment="1">
      <alignment vertical="center"/>
    </xf>
    <xf numFmtId="164" fontId="0" fillId="8" borderId="1" xfId="0" applyNumberFormat="1" applyFill="1" applyBorder="1" applyAlignment="1">
      <alignment vertical="center"/>
    </xf>
    <xf numFmtId="1" fontId="8" fillId="10" borderId="1" xfId="0" applyNumberFormat="1" applyFont="1" applyFill="1" applyBorder="1" applyAlignment="1">
      <alignment vertical="center"/>
    </xf>
    <xf numFmtId="164" fontId="8" fillId="10" borderId="1" xfId="0" applyNumberFormat="1" applyFont="1" applyFill="1" applyBorder="1" applyAlignment="1">
      <alignment vertical="center"/>
    </xf>
    <xf numFmtId="0" fontId="3" fillId="6" borderId="0" xfId="0" applyFont="1" applyFill="1" applyAlignment="1">
      <alignment vertical="center"/>
    </xf>
    <xf numFmtId="0" fontId="1" fillId="0" borderId="1" xfId="0" applyFont="1" applyBorder="1" applyAlignment="1">
      <alignment horizontal="center" vertical="center" wrapText="1"/>
    </xf>
    <xf numFmtId="9" fontId="0" fillId="0" borderId="0" xfId="3" applyFont="1" applyAlignment="1" applyProtection="1">
      <alignment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165" fontId="3" fillId="0" borderId="1" xfId="2" applyNumberFormat="1" applyFont="1" applyBorder="1" applyAlignment="1" applyProtection="1">
      <alignment horizontal="center" vertical="center"/>
    </xf>
    <xf numFmtId="0" fontId="0" fillId="6" borderId="0" xfId="0" applyFill="1" applyAlignment="1">
      <alignment vertical="center"/>
    </xf>
    <xf numFmtId="9" fontId="0" fillId="0" borderId="0" xfId="3" applyFont="1" applyFill="1" applyAlignment="1" applyProtection="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165" fontId="23" fillId="0" borderId="1" xfId="0" applyNumberFormat="1" applyFont="1" applyBorder="1" applyAlignment="1" applyProtection="1">
      <alignment horizontal="center" vertical="center"/>
      <protection locked="0"/>
    </xf>
    <xf numFmtId="1" fontId="23" fillId="0" borderId="1" xfId="0" applyNumberFormat="1" applyFont="1" applyBorder="1" applyAlignment="1" applyProtection="1">
      <alignment horizontal="center" vertical="center"/>
      <protection locked="0"/>
    </xf>
    <xf numFmtId="0" fontId="0" fillId="8" borderId="1" xfId="0" applyFill="1" applyBorder="1" applyAlignment="1" applyProtection="1">
      <alignment vertical="center"/>
      <protection locked="0"/>
    </xf>
    <xf numFmtId="0" fontId="7" fillId="0" borderId="0" xfId="0" applyFont="1"/>
    <xf numFmtId="0" fontId="3" fillId="0" borderId="2" xfId="0" applyFont="1" applyBorder="1"/>
    <xf numFmtId="0" fontId="3" fillId="0" borderId="5" xfId="0" applyFont="1" applyBorder="1"/>
    <xf numFmtId="0" fontId="1" fillId="0" borderId="28" xfId="0" applyFont="1" applyBorder="1" applyAlignment="1">
      <alignment horizontal="center" wrapText="1"/>
    </xf>
    <xf numFmtId="0" fontId="3" fillId="0" borderId="5" xfId="0" applyFont="1" applyBorder="1" applyAlignment="1">
      <alignment horizontal="left" vertical="center"/>
    </xf>
    <xf numFmtId="0" fontId="3" fillId="0" borderId="6" xfId="0" applyFont="1" applyBorder="1"/>
    <xf numFmtId="0" fontId="3" fillId="0" borderId="13" xfId="0" applyFont="1" applyBorder="1"/>
    <xf numFmtId="0" fontId="3" fillId="0" borderId="11" xfId="0" applyFont="1" applyBorder="1" applyAlignment="1">
      <alignment horizontal="left" vertical="center"/>
    </xf>
    <xf numFmtId="0" fontId="3" fillId="0" borderId="4" xfId="0" applyFont="1" applyBorder="1"/>
    <xf numFmtId="0" fontId="3" fillId="0" borderId="12" xfId="0" applyFont="1" applyBorder="1"/>
    <xf numFmtId="0" fontId="3" fillId="0" borderId="3" xfId="0" applyFont="1" applyBorder="1"/>
    <xf numFmtId="0" fontId="3" fillId="0" borderId="0" xfId="0" applyFont="1" applyAlignment="1">
      <alignment horizontal="left"/>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168" fontId="1" fillId="0" borderId="1" xfId="0" applyNumberFormat="1" applyFont="1" applyBorder="1" applyAlignment="1">
      <alignment horizontal="center" vertical="center"/>
    </xf>
    <xf numFmtId="0" fontId="3" fillId="0" borderId="4" xfId="0" applyFont="1" applyBorder="1" applyAlignment="1">
      <alignment horizontal="center" vertical="center"/>
    </xf>
    <xf numFmtId="164" fontId="3" fillId="0" borderId="1" xfId="0" applyNumberFormat="1" applyFont="1" applyBorder="1" applyAlignment="1">
      <alignment horizontal="right" vertical="center" indent="3"/>
    </xf>
    <xf numFmtId="164" fontId="3" fillId="0" borderId="1" xfId="0" applyNumberFormat="1" applyFont="1" applyBorder="1" applyAlignment="1">
      <alignment horizontal="right" vertical="center" indent="4"/>
    </xf>
    <xf numFmtId="164" fontId="1" fillId="0" borderId="1" xfId="0" applyNumberFormat="1" applyFont="1" applyBorder="1" applyAlignment="1">
      <alignment horizontal="right" indent="1"/>
    </xf>
    <xf numFmtId="168" fontId="1" fillId="0" borderId="3" xfId="0" applyNumberFormat="1" applyFont="1" applyBorder="1" applyAlignment="1">
      <alignment horizontal="center" vertical="center"/>
    </xf>
    <xf numFmtId="164" fontId="3" fillId="0" borderId="1" xfId="0" applyNumberFormat="1" applyFont="1" applyBorder="1" applyAlignment="1">
      <alignment horizontal="right" indent="3"/>
    </xf>
    <xf numFmtId="164" fontId="3" fillId="0" borderId="1" xfId="0" applyNumberFormat="1" applyFont="1" applyBorder="1" applyAlignment="1">
      <alignment horizontal="right" indent="4"/>
    </xf>
    <xf numFmtId="0" fontId="20" fillId="0" borderId="0" xfId="0" applyFont="1"/>
    <xf numFmtId="168" fontId="1" fillId="0" borderId="4" xfId="0" applyNumberFormat="1" applyFont="1" applyBorder="1" applyAlignment="1">
      <alignment horizontal="center" vertical="center"/>
    </xf>
    <xf numFmtId="0" fontId="23" fillId="0" borderId="16" xfId="0" applyFont="1" applyBorder="1"/>
    <xf numFmtId="2" fontId="1" fillId="0" borderId="4" xfId="0" applyNumberFormat="1" applyFont="1" applyBorder="1" applyAlignment="1">
      <alignment horizontal="center"/>
    </xf>
    <xf numFmtId="164" fontId="1" fillId="0" borderId="1" xfId="0" applyNumberFormat="1" applyFont="1" applyBorder="1" applyAlignment="1">
      <alignment horizontal="right" vertical="center" indent="3"/>
    </xf>
    <xf numFmtId="164" fontId="1" fillId="0" borderId="1" xfId="0" applyNumberFormat="1" applyFont="1" applyBorder="1" applyAlignment="1">
      <alignment horizontal="right" vertical="center" indent="4"/>
    </xf>
    <xf numFmtId="0" fontId="22" fillId="0" borderId="0" xfId="0" applyFont="1" applyAlignment="1">
      <alignment horizontal="center"/>
    </xf>
    <xf numFmtId="164" fontId="1" fillId="0" borderId="0" xfId="0" applyNumberFormat="1" applyFont="1" applyAlignment="1">
      <alignment horizontal="center"/>
    </xf>
    <xf numFmtId="0" fontId="2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2" fillId="0" borderId="0" xfId="0" applyFont="1" applyAlignment="1">
      <alignment horizontal="center"/>
    </xf>
    <xf numFmtId="168" fontId="3" fillId="0" borderId="0" xfId="0" applyNumberFormat="1" applyFont="1" applyAlignment="1">
      <alignment horizontal="center"/>
    </xf>
    <xf numFmtId="2" fontId="23" fillId="0" borderId="28" xfId="0" applyNumberFormat="1" applyFont="1" applyBorder="1" applyAlignment="1" applyProtection="1">
      <alignment horizontal="center" wrapText="1"/>
      <protection locked="0"/>
    </xf>
    <xf numFmtId="2" fontId="23" fillId="0" borderId="1" xfId="0" applyNumberFormat="1" applyFont="1" applyBorder="1" applyAlignment="1" applyProtection="1">
      <alignment horizontal="center" wrapText="1"/>
      <protection locked="0"/>
    </xf>
    <xf numFmtId="168" fontId="23" fillId="0" borderId="5" xfId="0" applyNumberFormat="1" applyFont="1" applyBorder="1" applyAlignment="1" applyProtection="1">
      <alignment horizontal="center" vertical="center"/>
      <protection locked="0"/>
    </xf>
    <xf numFmtId="168" fontId="23" fillId="0" borderId="20" xfId="0" applyNumberFormat="1" applyFont="1" applyBorder="1" applyAlignment="1" applyProtection="1">
      <alignment horizontal="center" vertical="center"/>
      <protection locked="0"/>
    </xf>
    <xf numFmtId="168" fontId="23" fillId="0" borderId="2" xfId="0" applyNumberFormat="1"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9" fontId="23" fillId="0" borderId="16" xfId="3" applyFont="1" applyBorder="1" applyAlignment="1" applyProtection="1">
      <alignment horizontal="center"/>
      <protection locked="0"/>
    </xf>
    <xf numFmtId="9" fontId="1" fillId="0" borderId="1" xfId="3" applyFont="1" applyFill="1" applyBorder="1" applyAlignment="1" applyProtection="1">
      <alignment horizontal="center"/>
    </xf>
    <xf numFmtId="0" fontId="23" fillId="0" borderId="1" xfId="0" applyFont="1" applyBorder="1" applyAlignment="1">
      <alignment horizontal="center"/>
    </xf>
    <xf numFmtId="9" fontId="23" fillId="0" borderId="1" xfId="3" applyFont="1" applyFill="1" applyBorder="1" applyAlignment="1" applyProtection="1">
      <alignment horizontal="center"/>
    </xf>
    <xf numFmtId="0" fontId="0" fillId="0" borderId="0" xfId="0" applyAlignment="1">
      <alignment horizontal="left"/>
    </xf>
    <xf numFmtId="0" fontId="0" fillId="0" borderId="2" xfId="0" applyBorder="1"/>
    <xf numFmtId="0" fontId="25" fillId="0" borderId="0" xfId="0" applyFont="1"/>
    <xf numFmtId="168" fontId="23" fillId="0" borderId="1" xfId="0" applyNumberFormat="1" applyFont="1" applyBorder="1" applyAlignment="1" applyProtection="1">
      <alignment horizontal="center"/>
      <protection locked="0"/>
    </xf>
    <xf numFmtId="166" fontId="23" fillId="0" borderId="1" xfId="3" applyNumberFormat="1" applyFont="1" applyFill="1" applyBorder="1" applyAlignment="1" applyProtection="1">
      <alignment horizontal="center"/>
      <protection locked="0"/>
    </xf>
    <xf numFmtId="164" fontId="23" fillId="0" borderId="1" xfId="0" applyNumberFormat="1" applyFont="1" applyBorder="1" applyAlignment="1" applyProtection="1">
      <alignment horizontal="center"/>
      <protection locked="0"/>
    </xf>
    <xf numFmtId="0" fontId="1" fillId="0" borderId="2" xfId="0" applyFont="1" applyBorder="1"/>
    <xf numFmtId="0" fontId="1" fillId="0" borderId="4" xfId="0" applyFont="1" applyBorder="1"/>
    <xf numFmtId="2" fontId="0" fillId="0" borderId="0" xfId="0" applyNumberFormat="1"/>
    <xf numFmtId="2" fontId="4" fillId="0" borderId="0" xfId="0" applyNumberFormat="1" applyFont="1"/>
    <xf numFmtId="171" fontId="3" fillId="0" borderId="0" xfId="0" applyNumberFormat="1" applyFont="1"/>
    <xf numFmtId="8" fontId="0" fillId="0" borderId="0" xfId="0" applyNumberFormat="1"/>
    <xf numFmtId="0" fontId="20" fillId="0" borderId="0" xfId="0" applyFont="1" applyAlignment="1">
      <alignment horizontal="left"/>
    </xf>
    <xf numFmtId="0" fontId="0" fillId="0" borderId="1" xfId="0" applyBorder="1" applyAlignment="1">
      <alignment vertical="center" wrapText="1"/>
    </xf>
    <xf numFmtId="164" fontId="1" fillId="0" borderId="0" xfId="0" applyNumberFormat="1" applyFont="1" applyAlignment="1">
      <alignment vertical="center"/>
    </xf>
    <xf numFmtId="165" fontId="1" fillId="0" borderId="0" xfId="0" applyNumberFormat="1" applyFont="1" applyAlignment="1">
      <alignment horizontal="center" vertical="center"/>
    </xf>
    <xf numFmtId="1" fontId="1" fillId="0" borderId="0" xfId="0" applyNumberFormat="1" applyFont="1" applyAlignment="1">
      <alignment horizontal="center" vertical="center"/>
    </xf>
    <xf numFmtId="0" fontId="0" fillId="0" borderId="0" xfId="0" applyAlignment="1">
      <alignment horizontal="center" vertical="center"/>
    </xf>
    <xf numFmtId="168" fontId="1" fillId="0" borderId="0" xfId="0" applyNumberFormat="1" applyFont="1" applyAlignment="1">
      <alignment horizontal="center" vertical="center"/>
    </xf>
    <xf numFmtId="164" fontId="3" fillId="0" borderId="0" xfId="0" applyNumberFormat="1" applyFont="1" applyAlignment="1">
      <alignment horizontal="center" vertical="center"/>
    </xf>
    <xf numFmtId="0" fontId="20" fillId="0" borderId="0" xfId="0" applyFont="1" applyAlignment="1">
      <alignment horizontal="left" vertical="center"/>
    </xf>
    <xf numFmtId="0" fontId="3" fillId="0" borderId="5" xfId="0" applyFont="1" applyBorder="1" applyAlignment="1">
      <alignment vertical="center"/>
    </xf>
    <xf numFmtId="0" fontId="5" fillId="0" borderId="3" xfId="0" applyFont="1" applyBorder="1" applyAlignment="1" applyProtection="1">
      <alignment horizontal="center" vertical="center"/>
      <protection locked="0"/>
    </xf>
    <xf numFmtId="0" fontId="1" fillId="0" borderId="16" xfId="0" applyFont="1" applyBorder="1" applyAlignment="1">
      <alignment horizontal="center" wrapText="1"/>
    </xf>
    <xf numFmtId="0" fontId="3" fillId="0" borderId="2" xfId="0" applyFont="1" applyBorder="1" applyAlignment="1">
      <alignment horizontal="left" vertical="center"/>
    </xf>
    <xf numFmtId="0" fontId="7" fillId="0" borderId="3" xfId="0" applyFont="1" applyBorder="1" applyAlignment="1">
      <alignment horizontal="center"/>
    </xf>
    <xf numFmtId="168" fontId="1" fillId="0" borderId="3" xfId="0" applyNumberFormat="1" applyFont="1" applyBorder="1" applyAlignment="1">
      <alignment horizontal="center"/>
    </xf>
    <xf numFmtId="0" fontId="0" fillId="0" borderId="13" xfId="0" applyBorder="1"/>
    <xf numFmtId="0" fontId="23" fillId="0" borderId="29" xfId="0" applyFont="1" applyBorder="1"/>
    <xf numFmtId="168" fontId="0" fillId="0" borderId="0" xfId="0" applyNumberFormat="1" applyAlignment="1">
      <alignment horizontal="center"/>
    </xf>
    <xf numFmtId="9" fontId="23" fillId="0" borderId="16" xfId="3" applyFont="1" applyFill="1" applyBorder="1" applyAlignment="1" applyProtection="1">
      <alignment horizontal="center"/>
      <protection locked="0"/>
    </xf>
    <xf numFmtId="168" fontId="23" fillId="0" borderId="2" xfId="0" applyNumberFormat="1" applyFont="1" applyBorder="1" applyAlignment="1" applyProtection="1">
      <alignment horizontal="center"/>
      <protection locked="0"/>
    </xf>
    <xf numFmtId="168" fontId="23" fillId="0" borderId="20" xfId="0" applyNumberFormat="1"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4" xfId="0" applyFont="1" applyBorder="1" applyAlignment="1" applyProtection="1">
      <alignment horizontal="center"/>
      <protection locked="0"/>
    </xf>
    <xf numFmtId="172" fontId="0" fillId="0" borderId="0" xfId="0" applyNumberFormat="1" applyAlignment="1">
      <alignment horizontal="left"/>
    </xf>
    <xf numFmtId="0" fontId="2" fillId="0" borderId="3" xfId="0" applyFont="1" applyBorder="1"/>
    <xf numFmtId="0" fontId="2" fillId="0" borderId="6" xfId="0" applyFont="1" applyBorder="1"/>
    <xf numFmtId="0" fontId="2" fillId="0" borderId="30" xfId="0" applyFont="1" applyBorder="1"/>
    <xf numFmtId="0" fontId="2" fillId="0" borderId="1" xfId="0" applyFont="1" applyBorder="1" applyAlignment="1">
      <alignment horizontal="left" indent="1"/>
    </xf>
    <xf numFmtId="0" fontId="2" fillId="0" borderId="30" xfId="0" applyFont="1" applyBorder="1" applyAlignment="1">
      <alignment horizontal="left" indent="1"/>
    </xf>
    <xf numFmtId="1" fontId="1" fillId="8"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1" fillId="11" borderId="1" xfId="0" applyNumberFormat="1" applyFont="1" applyFill="1" applyBorder="1" applyAlignment="1">
      <alignment horizontal="center"/>
    </xf>
    <xf numFmtId="0" fontId="2" fillId="0" borderId="9" xfId="0" applyFont="1" applyBorder="1" applyAlignment="1">
      <alignment horizontal="left" indent="1"/>
    </xf>
    <xf numFmtId="164" fontId="1" fillId="0" borderId="1" xfId="0" applyNumberFormat="1" applyFont="1" applyBorder="1" applyAlignment="1">
      <alignment horizontal="right" vertical="center" indent="1"/>
    </xf>
    <xf numFmtId="164" fontId="0" fillId="0" borderId="1" xfId="0" applyNumberFormat="1" applyBorder="1" applyAlignment="1">
      <alignment horizontal="right" vertical="center" indent="3"/>
    </xf>
    <xf numFmtId="164" fontId="0" fillId="0" borderId="1" xfId="0" applyNumberFormat="1" applyBorder="1" applyAlignment="1">
      <alignment horizontal="right" indent="1"/>
    </xf>
    <xf numFmtId="164" fontId="9" fillId="0" borderId="1" xfId="0" applyNumberFormat="1" applyFont="1" applyBorder="1" applyAlignment="1">
      <alignment horizontal="right" indent="1"/>
    </xf>
    <xf numFmtId="165" fontId="8" fillId="10" borderId="1" xfId="0" applyNumberFormat="1" applyFont="1" applyFill="1" applyBorder="1" applyAlignment="1">
      <alignment horizontal="right" indent="1"/>
    </xf>
    <xf numFmtId="1" fontId="8" fillId="10" borderId="1" xfId="0" applyNumberFormat="1" applyFont="1" applyFill="1" applyBorder="1" applyAlignment="1">
      <alignment horizontal="right" indent="1"/>
    </xf>
    <xf numFmtId="164" fontId="8" fillId="10" borderId="1" xfId="0" applyNumberFormat="1" applyFont="1" applyFill="1" applyBorder="1" applyAlignment="1">
      <alignment horizontal="right" indent="1"/>
    </xf>
    <xf numFmtId="164" fontId="1" fillId="0" borderId="1" xfId="0" applyNumberFormat="1" applyFont="1" applyBorder="1" applyAlignment="1">
      <alignment vertical="center"/>
    </xf>
    <xf numFmtId="164" fontId="5" fillId="0" borderId="1" xfId="0" applyNumberFormat="1" applyFont="1" applyBorder="1" applyAlignment="1">
      <alignment vertical="center"/>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1" fillId="0" borderId="0" xfId="0" applyFont="1" applyAlignment="1">
      <alignment horizontal="left" vertical="center"/>
    </xf>
    <xf numFmtId="0" fontId="0" fillId="0" borderId="0" xfId="0" applyAlignment="1">
      <alignment vertical="center" wrapText="1"/>
    </xf>
    <xf numFmtId="164" fontId="1" fillId="0" borderId="1" xfId="0" applyNumberFormat="1" applyFont="1" applyBorder="1" applyAlignment="1">
      <alignment horizontal="center" vertical="center"/>
    </xf>
    <xf numFmtId="0" fontId="1" fillId="0" borderId="0" xfId="0" applyFont="1" applyAlignment="1">
      <alignment horizontal="center" vertical="center" wrapText="1"/>
    </xf>
    <xf numFmtId="2" fontId="1" fillId="0" borderId="3" xfId="0" applyNumberFormat="1" applyFont="1" applyBorder="1" applyAlignment="1">
      <alignment horizontal="center"/>
    </xf>
    <xf numFmtId="0" fontId="3" fillId="0" borderId="1" xfId="0" applyFont="1" applyBorder="1" applyAlignment="1">
      <alignment horizontal="center"/>
    </xf>
    <xf numFmtId="2" fontId="23" fillId="0" borderId="1" xfId="0" applyNumberFormat="1" applyFont="1" applyBorder="1" applyAlignment="1">
      <alignment horizontal="center" wrapText="1"/>
    </xf>
    <xf numFmtId="2" fontId="23" fillId="0" borderId="16" xfId="0" applyNumberFormat="1" applyFont="1" applyBorder="1" applyAlignment="1">
      <alignment horizontal="center" wrapText="1"/>
    </xf>
    <xf numFmtId="0" fontId="27" fillId="11" borderId="20" xfId="0" applyFont="1" applyFill="1" applyBorder="1" applyAlignment="1" applyProtection="1">
      <alignment vertical="center"/>
      <protection locked="0"/>
    </xf>
    <xf numFmtId="0" fontId="27" fillId="11" borderId="20" xfId="0" applyFont="1" applyFill="1" applyBorder="1" applyAlignment="1" applyProtection="1">
      <alignment horizontal="right" vertical="center"/>
      <protection locked="0"/>
    </xf>
    <xf numFmtId="0" fontId="27" fillId="11" borderId="20" xfId="0" applyFont="1" applyFill="1" applyBorder="1" applyAlignment="1" applyProtection="1">
      <alignment horizontal="center"/>
      <protection locked="0"/>
    </xf>
    <xf numFmtId="0" fontId="27" fillId="11" borderId="20" xfId="0" applyFont="1" applyFill="1" applyBorder="1" applyAlignment="1" applyProtection="1">
      <alignment horizontal="left"/>
      <protection locked="0"/>
    </xf>
    <xf numFmtId="0" fontId="1" fillId="11" borderId="9" xfId="0" applyFont="1" applyFill="1" applyBorder="1" applyAlignment="1">
      <alignment horizontal="left" vertical="center"/>
    </xf>
    <xf numFmtId="0" fontId="27" fillId="11" borderId="20" xfId="0" applyFont="1" applyFill="1" applyBorder="1" applyAlignment="1" applyProtection="1">
      <alignment horizontal="left" vertical="center"/>
      <protection locked="0"/>
    </xf>
    <xf numFmtId="0" fontId="27" fillId="11" borderId="20" xfId="0" applyFont="1" applyFill="1" applyBorder="1" applyProtection="1">
      <protection locked="0"/>
    </xf>
    <xf numFmtId="0" fontId="12" fillId="13" borderId="0" xfId="0" applyFont="1" applyFill="1" applyAlignment="1">
      <alignment horizontal="center" vertical="center" wrapText="1"/>
    </xf>
    <xf numFmtId="0" fontId="0" fillId="0" borderId="0" xfId="0" applyAlignment="1">
      <alignment horizontal="center"/>
    </xf>
    <xf numFmtId="0" fontId="4" fillId="9" borderId="0" xfId="0" applyFont="1" applyFill="1" applyAlignment="1">
      <alignment horizontal="center"/>
    </xf>
    <xf numFmtId="0" fontId="4" fillId="0" borderId="0" xfId="0" applyFont="1" applyAlignment="1">
      <alignment horizontal="center"/>
    </xf>
    <xf numFmtId="0" fontId="2" fillId="0" borderId="1" xfId="0" applyFont="1" applyBorder="1" applyAlignment="1">
      <alignment horizontal="left" vertical="center" wrapText="1"/>
    </xf>
    <xf numFmtId="0" fontId="28" fillId="13" borderId="1"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164" fontId="1" fillId="0" borderId="1" xfId="0" applyNumberFormat="1" applyFont="1" applyBorder="1" applyAlignment="1">
      <alignment vertical="center"/>
    </xf>
    <xf numFmtId="164" fontId="1" fillId="0" borderId="9" xfId="0" applyNumberFormat="1"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64" fontId="5" fillId="0" borderId="1" xfId="0" applyNumberFormat="1" applyFon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13" borderId="2" xfId="0" applyFont="1" applyFill="1" applyBorder="1" applyAlignment="1">
      <alignment vertical="center"/>
    </xf>
    <xf numFmtId="0" fontId="0" fillId="13" borderId="4" xfId="0" applyFill="1" applyBorder="1" applyAlignment="1">
      <alignment vertical="center"/>
    </xf>
    <xf numFmtId="0" fontId="0" fillId="13" borderId="3" xfId="0"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7" fillId="13" borderId="1" xfId="0" applyFont="1" applyFill="1" applyBorder="1" applyAlignment="1">
      <alignment horizontal="center" vertical="center"/>
    </xf>
    <xf numFmtId="0" fontId="0" fillId="13" borderId="1" xfId="0"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13" borderId="2" xfId="0" quotePrefix="1" applyFont="1" applyFill="1" applyBorder="1" applyAlignment="1">
      <alignment horizontal="left" vertical="center"/>
    </xf>
    <xf numFmtId="0" fontId="4" fillId="13" borderId="4" xfId="0" quotePrefix="1" applyFont="1" applyFill="1" applyBorder="1" applyAlignment="1">
      <alignment horizontal="left" vertical="center"/>
    </xf>
    <xf numFmtId="0" fontId="4" fillId="13" borderId="3" xfId="0" quotePrefix="1" applyFont="1"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164" fontId="1" fillId="8" borderId="5" xfId="0" applyNumberFormat="1"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0" fillId="8" borderId="6" xfId="0" applyFill="1" applyBorder="1" applyAlignment="1">
      <alignment horizontal="left" vertical="center"/>
    </xf>
    <xf numFmtId="0" fontId="1" fillId="0" borderId="0" xfId="0" applyFont="1" applyAlignment="1">
      <alignment horizontal="left" vertical="center"/>
    </xf>
    <xf numFmtId="0" fontId="1" fillId="13" borderId="2" xfId="0" applyFont="1" applyFill="1" applyBorder="1" applyAlignment="1">
      <alignment horizontal="left" vertical="center"/>
    </xf>
    <xf numFmtId="0" fontId="0" fillId="13" borderId="4" xfId="0" applyFill="1" applyBorder="1" applyAlignment="1">
      <alignment horizontal="left" vertical="center"/>
    </xf>
    <xf numFmtId="0" fontId="0" fillId="13" borderId="3" xfId="0" applyFill="1" applyBorder="1" applyAlignment="1">
      <alignment horizontal="left" vertical="center"/>
    </xf>
    <xf numFmtId="0" fontId="0" fillId="0" borderId="0" xfId="0" applyAlignment="1">
      <alignment vertical="center" wrapText="1"/>
    </xf>
    <xf numFmtId="0" fontId="14" fillId="0" borderId="0" xfId="0" applyFont="1" applyAlignment="1">
      <alignment vertical="center" wrapText="1"/>
    </xf>
    <xf numFmtId="0" fontId="9" fillId="0" borderId="0" xfId="0" applyFont="1" applyAlignment="1">
      <alignment vertical="center" wrapText="1"/>
    </xf>
    <xf numFmtId="164" fontId="1" fillId="0" borderId="1" xfId="0" applyNumberFormat="1" applyFont="1" applyBorder="1" applyAlignment="1">
      <alignment horizontal="center" vertical="center"/>
    </xf>
    <xf numFmtId="0" fontId="27" fillId="11" borderId="21" xfId="0" applyFont="1" applyFill="1" applyBorder="1" applyAlignment="1" applyProtection="1">
      <alignment horizontal="right" vertical="center"/>
      <protection locked="0"/>
    </xf>
    <xf numFmtId="0" fontId="27" fillId="11" borderId="22" xfId="0" applyFont="1" applyFill="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1" xfId="0" applyFont="1" applyBorder="1" applyAlignment="1">
      <alignment horizontal="left" vertical="center" wrapText="1"/>
    </xf>
    <xf numFmtId="164" fontId="5" fillId="11" borderId="23" xfId="0" applyNumberFormat="1" applyFont="1" applyFill="1" applyBorder="1" applyAlignment="1" applyProtection="1">
      <alignment horizontal="center" vertical="center" wrapText="1"/>
      <protection locked="0"/>
    </xf>
    <xf numFmtId="164" fontId="5" fillId="11" borderId="24" xfId="0" applyNumberFormat="1" applyFont="1" applyFill="1" applyBorder="1" applyAlignment="1" applyProtection="1">
      <alignment horizontal="center" vertical="center" wrapText="1"/>
      <protection locked="0"/>
    </xf>
    <xf numFmtId="164" fontId="5" fillId="11" borderId="25" xfId="0" applyNumberFormat="1" applyFont="1" applyFill="1" applyBorder="1" applyAlignment="1" applyProtection="1">
      <alignment horizontal="center" vertical="center" wrapText="1"/>
      <protection locked="0"/>
    </xf>
    <xf numFmtId="164" fontId="1" fillId="8" borderId="12" xfId="0" applyNumberFormat="1" applyFont="1" applyFill="1" applyBorder="1" applyAlignment="1">
      <alignment horizontal="center" vertical="center" wrapText="1"/>
    </xf>
    <xf numFmtId="164" fontId="1" fillId="8" borderId="7" xfId="0" applyNumberFormat="1" applyFont="1" applyFill="1" applyBorder="1" applyAlignment="1">
      <alignment horizontal="center" vertical="center" wrapText="1"/>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0" fillId="0" borderId="6" xfId="0" applyBorder="1" applyAlignment="1">
      <alignment horizontal="left" vertical="center"/>
    </xf>
    <xf numFmtId="0" fontId="0" fillId="0" borderId="8" xfId="0" applyBorder="1" applyAlignment="1">
      <alignment horizontal="left"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0" fillId="0" borderId="13" xfId="0" applyBorder="1" applyAlignment="1">
      <alignment horizontal="left" vertical="center"/>
    </xf>
    <xf numFmtId="0" fontId="0" fillId="0" borderId="7" xfId="0" applyBorder="1" applyAlignment="1">
      <alignment horizontal="left"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1" fillId="13" borderId="1"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3" fillId="11" borderId="2" xfId="0" applyFont="1" applyFill="1" applyBorder="1"/>
    <xf numFmtId="0" fontId="3" fillId="11" borderId="4" xfId="0" applyFont="1" applyFill="1" applyBorder="1"/>
    <xf numFmtId="0" fontId="0" fillId="11" borderId="3" xfId="0" applyFill="1" applyBorder="1"/>
    <xf numFmtId="0" fontId="0" fillId="0" borderId="2" xfId="0" applyBorder="1"/>
    <xf numFmtId="0" fontId="0" fillId="0" borderId="4" xfId="0" applyBorder="1"/>
    <xf numFmtId="0" fontId="0" fillId="0" borderId="3" xfId="0"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xf>
    <xf numFmtId="0" fontId="0" fillId="2" borderId="2" xfId="0" applyFill="1" applyBorder="1"/>
    <xf numFmtId="0" fontId="0" fillId="2" borderId="4"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3" fillId="0" borderId="2" xfId="0" applyFont="1" applyBorder="1"/>
    <xf numFmtId="0" fontId="0" fillId="0" borderId="1" xfId="0" applyBorder="1"/>
    <xf numFmtId="0" fontId="2" fillId="0" borderId="1"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168" fontId="2" fillId="0" borderId="2" xfId="0" applyNumberFormat="1" applyFont="1" applyBorder="1" applyAlignment="1">
      <alignment horizontal="center" vertical="center"/>
    </xf>
    <xf numFmtId="168" fontId="2" fillId="0" borderId="3" xfId="0" applyNumberFormat="1" applyFont="1" applyBorder="1" applyAlignment="1">
      <alignment horizontal="center" vertical="center"/>
    </xf>
    <xf numFmtId="2" fontId="1" fillId="0" borderId="2" xfId="0" applyNumberFormat="1" applyFont="1" applyBorder="1" applyAlignment="1">
      <alignment horizontal="center"/>
    </xf>
    <xf numFmtId="2" fontId="1" fillId="0" borderId="3" xfId="0" applyNumberFormat="1" applyFont="1" applyBorder="1" applyAlignment="1">
      <alignment horizontal="center"/>
    </xf>
    <xf numFmtId="0" fontId="2" fillId="0" borderId="2" xfId="0" applyFont="1" applyBorder="1" applyAlignment="1">
      <alignment horizontal="left" indent="1"/>
    </xf>
    <xf numFmtId="0" fontId="1" fillId="0" borderId="4" xfId="0" applyFont="1" applyBorder="1" applyAlignment="1">
      <alignment horizontal="left" indent="1"/>
    </xf>
    <xf numFmtId="0" fontId="1" fillId="0" borderId="3" xfId="0" applyFont="1" applyBorder="1" applyAlignment="1">
      <alignment horizontal="left" inden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168" fontId="2" fillId="0" borderId="7" xfId="0" applyNumberFormat="1" applyFont="1" applyBorder="1" applyAlignment="1">
      <alignment horizontal="center" vertical="center"/>
    </xf>
    <xf numFmtId="168" fontId="2" fillId="0" borderId="4" xfId="0" applyNumberFormat="1" applyFont="1" applyBorder="1" applyAlignment="1">
      <alignment horizontal="center" vertical="center"/>
    </xf>
    <xf numFmtId="0" fontId="3" fillId="0" borderId="14" xfId="0" applyFont="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center"/>
    </xf>
    <xf numFmtId="0" fontId="3" fillId="0" borderId="6" xfId="0" applyFont="1" applyBorder="1" applyAlignment="1">
      <alignment horizontal="left"/>
    </xf>
    <xf numFmtId="0" fontId="3" fillId="0" borderId="9" xfId="0" applyFont="1" applyBorder="1" applyAlignment="1">
      <alignment horizontal="left"/>
    </xf>
    <xf numFmtId="9" fontId="26" fillId="11" borderId="27" xfId="0" applyNumberFormat="1" applyFont="1" applyFill="1" applyBorder="1" applyAlignment="1" applyProtection="1">
      <alignment horizont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164" fontId="5" fillId="0" borderId="1" xfId="0" applyNumberFormat="1" applyFont="1" applyBorder="1" applyAlignment="1" applyProtection="1">
      <alignment horizontal="center"/>
      <protection locked="0"/>
    </xf>
    <xf numFmtId="0" fontId="2" fillId="0" borderId="10" xfId="0" applyFont="1" applyBorder="1" applyAlignment="1">
      <alignment horizontal="center" vertical="center" wrapText="1"/>
    </xf>
    <xf numFmtId="0" fontId="3" fillId="0" borderId="5"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left"/>
    </xf>
    <xf numFmtId="0" fontId="7" fillId="13" borderId="1" xfId="0" applyFont="1" applyFill="1" applyBorder="1" applyAlignment="1">
      <alignment horizontal="center"/>
    </xf>
    <xf numFmtId="0" fontId="27" fillId="11" borderId="20" xfId="0" applyFont="1" applyFill="1" applyBorder="1" applyAlignment="1" applyProtection="1">
      <alignment horizontal="center" wrapText="1"/>
      <protection locked="0"/>
    </xf>
    <xf numFmtId="0" fontId="27" fillId="11" borderId="20" xfId="0" applyFont="1" applyFill="1" applyBorder="1" applyAlignment="1" applyProtection="1">
      <alignment horizontal="center" vertical="center" wrapText="1"/>
      <protection locked="0"/>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9" fontId="5" fillId="0" borderId="9" xfId="0" applyNumberFormat="1" applyFont="1" applyBorder="1" applyAlignment="1" applyProtection="1">
      <alignment horizontal="center"/>
      <protection locked="0"/>
    </xf>
    <xf numFmtId="164" fontId="5" fillId="0" borderId="16" xfId="0" applyNumberFormat="1" applyFont="1" applyBorder="1" applyAlignment="1" applyProtection="1">
      <alignment horizontal="center"/>
      <protection locked="0"/>
    </xf>
    <xf numFmtId="164" fontId="5" fillId="11" borderId="20" xfId="0" applyNumberFormat="1" applyFont="1" applyFill="1" applyBorder="1" applyAlignment="1" applyProtection="1">
      <alignment horizontal="center"/>
      <protection locked="0"/>
    </xf>
    <xf numFmtId="164" fontId="5" fillId="0" borderId="9" xfId="0" applyNumberFormat="1" applyFont="1" applyBorder="1" applyAlignment="1" applyProtection="1">
      <alignment horizontal="center"/>
      <protection locked="0"/>
    </xf>
    <xf numFmtId="0" fontId="3" fillId="0" borderId="0" xfId="0" applyFont="1" applyAlignment="1">
      <alignment horizontal="left"/>
    </xf>
    <xf numFmtId="0" fontId="1"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4" fillId="13" borderId="2" xfId="0" quotePrefix="1" applyFont="1" applyFill="1" applyBorder="1" applyAlignment="1">
      <alignment horizontal="left"/>
    </xf>
    <xf numFmtId="0" fontId="4" fillId="13" borderId="4" xfId="0" quotePrefix="1" applyFont="1" applyFill="1" applyBorder="1" applyAlignment="1">
      <alignment horizontal="left"/>
    </xf>
    <xf numFmtId="0" fontId="4" fillId="13" borderId="3" xfId="0" quotePrefix="1" applyFont="1" applyFill="1" applyBorder="1" applyAlignment="1">
      <alignment horizontal="left"/>
    </xf>
    <xf numFmtId="0" fontId="0" fillId="13" borderId="1" xfId="0" applyFill="1" applyBorder="1" applyAlignment="1">
      <alignment horizontal="center"/>
    </xf>
    <xf numFmtId="0" fontId="1" fillId="13" borderId="1" xfId="0" applyFont="1" applyFill="1" applyBorder="1"/>
    <xf numFmtId="0" fontId="0" fillId="13" borderId="1" xfId="0" applyFill="1" applyBorder="1"/>
    <xf numFmtId="0" fontId="14"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13" borderId="2" xfId="0" applyFill="1" applyBorder="1" applyAlignment="1">
      <alignment vertical="center"/>
    </xf>
    <xf numFmtId="164" fontId="5" fillId="11" borderId="20" xfId="0" applyNumberFormat="1" applyFont="1" applyFill="1" applyBorder="1" applyAlignment="1" applyProtection="1">
      <alignment horizontal="center" vertical="center" wrapText="1"/>
      <protection locked="0"/>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7" fillId="11" borderId="20" xfId="0" applyFont="1" applyFill="1" applyBorder="1" applyAlignment="1" applyProtection="1">
      <alignment horizontal="center" vertical="center"/>
      <protection locked="0"/>
    </xf>
    <xf numFmtId="0" fontId="0" fillId="0" borderId="1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13" xfId="0" applyFont="1" applyBorder="1" applyAlignment="1">
      <alignment horizontal="left" vertical="center"/>
    </xf>
    <xf numFmtId="0" fontId="5" fillId="0" borderId="1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13" borderId="8" xfId="0" applyFont="1" applyFill="1" applyBorder="1" applyAlignment="1">
      <alignment horizontal="center" vertical="center" wrapText="1"/>
    </xf>
    <xf numFmtId="0" fontId="2" fillId="0" borderId="4" xfId="0" applyFont="1" applyBorder="1" applyAlignment="1">
      <alignment horizontal="left" indent="1"/>
    </xf>
    <xf numFmtId="0" fontId="2" fillId="0" borderId="3" xfId="0" applyFont="1" applyBorder="1" applyAlignment="1">
      <alignment horizontal="left" indent="1"/>
    </xf>
    <xf numFmtId="9" fontId="1" fillId="0" borderId="9" xfId="0" applyNumberFormat="1" applyFont="1" applyBorder="1" applyAlignment="1">
      <alignment horizontal="center"/>
    </xf>
    <xf numFmtId="0" fontId="2" fillId="0" borderId="1" xfId="0" applyFont="1" applyBorder="1" applyAlignment="1">
      <alignment horizontal="center"/>
    </xf>
    <xf numFmtId="9" fontId="27" fillId="0" borderId="20" xfId="0" applyNumberFormat="1" applyFont="1" applyBorder="1" applyAlignment="1" applyProtection="1">
      <alignment horizontal="center"/>
      <protection locked="0"/>
    </xf>
    <xf numFmtId="0" fontId="2" fillId="0" borderId="9" xfId="0" applyFont="1" applyBorder="1" applyAlignment="1">
      <alignment horizontal="center" wrapText="1"/>
    </xf>
    <xf numFmtId="0" fontId="2" fillId="0" borderId="10" xfId="0" applyFont="1" applyBorder="1" applyAlignment="1">
      <alignment horizontal="center" wrapText="1"/>
    </xf>
    <xf numFmtId="0" fontId="27" fillId="11" borderId="20" xfId="0" applyFont="1" applyFill="1" applyBorder="1" applyAlignment="1" applyProtection="1">
      <alignment horizontal="center"/>
      <protection locked="0"/>
    </xf>
    <xf numFmtId="164" fontId="1" fillId="0" borderId="1" xfId="0" applyNumberFormat="1" applyFont="1" applyBorder="1" applyAlignment="1">
      <alignment horizontal="center"/>
    </xf>
    <xf numFmtId="0" fontId="23" fillId="0" borderId="14"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center"/>
    </xf>
    <xf numFmtId="2" fontId="1" fillId="0" borderId="1" xfId="0" applyNumberFormat="1" applyFont="1" applyBorder="1" applyAlignment="1">
      <alignment horizontal="center"/>
    </xf>
    <xf numFmtId="0" fontId="12" fillId="3" borderId="1" xfId="0" applyFont="1" applyFill="1" applyBorder="1" applyAlignment="1">
      <alignment horizontal="center"/>
    </xf>
    <xf numFmtId="0" fontId="0" fillId="7" borderId="2" xfId="0" applyFill="1" applyBorder="1"/>
    <xf numFmtId="0" fontId="0" fillId="7" borderId="4" xfId="0" applyFill="1" applyBorder="1"/>
    <xf numFmtId="0" fontId="0" fillId="7" borderId="3" xfId="0" applyFill="1" applyBorder="1"/>
    <xf numFmtId="0" fontId="0" fillId="11" borderId="2" xfId="0" applyFill="1" applyBorder="1"/>
    <xf numFmtId="0" fontId="0" fillId="11" borderId="4" xfId="0" applyFill="1" applyBorder="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 fillId="13" borderId="2" xfId="0" applyFont="1" applyFill="1" applyBorder="1"/>
    <xf numFmtId="0" fontId="0" fillId="13" borderId="4" xfId="0" applyFill="1" applyBorder="1"/>
  </cellXfs>
  <cellStyles count="4">
    <cellStyle name="Currency" xfId="2" builtinId="4"/>
    <cellStyle name="Hyperlink" xfId="1" builtinId="8"/>
    <cellStyle name="Normal" xfId="0" builtinId="0"/>
    <cellStyle name="Percent" xfId="3" builtinId="5"/>
  </cellStyles>
  <dxfs count="55">
    <dxf>
      <font>
        <color theme="0"/>
      </font>
    </dxf>
    <dxf>
      <font>
        <color theme="0"/>
      </font>
    </dxf>
    <dxf>
      <font>
        <color theme="0"/>
      </font>
    </dxf>
    <dxf>
      <font>
        <color theme="0"/>
      </font>
    </dxf>
    <dxf>
      <font>
        <color theme="0"/>
      </font>
    </dxf>
    <dxf>
      <font>
        <color rgb="FFFF0000"/>
      </font>
    </dxf>
    <dxf>
      <font>
        <color auto="1"/>
      </font>
    </dxf>
    <dxf>
      <font>
        <color theme="0"/>
      </font>
    </dxf>
    <dxf>
      <font>
        <color theme="0"/>
      </font>
      <fill>
        <patternFill patternType="none">
          <bgColor auto="1"/>
        </patternFill>
      </fill>
      <border>
        <left/>
        <right/>
        <top/>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b val="0"/>
        <i/>
        <color rgb="FFFF000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rgb="FFCCFFFF"/>
      </font>
    </dxf>
    <dxf>
      <font>
        <color theme="0"/>
      </font>
    </dxf>
    <dxf>
      <font>
        <color theme="0"/>
      </font>
    </dxf>
    <dxf>
      <font>
        <color theme="0"/>
      </font>
    </dxf>
    <dxf>
      <font>
        <color theme="0"/>
      </font>
    </dxf>
    <dxf>
      <font>
        <color theme="0"/>
      </font>
    </dxf>
    <dxf>
      <font>
        <color theme="0"/>
      </font>
    </dxf>
    <dxf>
      <font>
        <color theme="0"/>
      </font>
    </dxf>
    <dxf>
      <font>
        <color rgb="FFFF0000"/>
      </font>
    </dxf>
    <dxf>
      <font>
        <color auto="1"/>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b val="0"/>
        <i/>
        <color rgb="FFFF000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rgb="FFCCFFFF"/>
      </font>
    </dxf>
  </dxfs>
  <tableStyles count="0" defaultTableStyle="TableStyleMedium2" defaultPivotStyle="PivotStyleLight16"/>
  <colors>
    <mruColors>
      <color rgb="FFB1C9E8"/>
      <color rgb="FF0000FF"/>
      <color rgb="FF000080"/>
      <color rgb="FFCCFFFF"/>
      <color rgb="FF99CCFF"/>
      <color rgb="FFBFEEFD"/>
      <color rgb="FFFFFFB9"/>
      <color rgb="FFFFFF99"/>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351692</xdr:colOff>
      <xdr:row>13</xdr:row>
      <xdr:rowOff>0</xdr:rowOff>
    </xdr:from>
    <xdr:to>
      <xdr:col>8</xdr:col>
      <xdr:colOff>62281</xdr:colOff>
      <xdr:row>17</xdr:row>
      <xdr:rowOff>13727</xdr:rowOff>
    </xdr:to>
    <xdr:pic>
      <xdr:nvPicPr>
        <xdr:cNvPr id="6" name="Picture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17077" y="586154"/>
          <a:ext cx="3278067" cy="658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mantha.Kindred@uky.edu" TargetMode="External"/><Relationship Id="rId1" Type="http://schemas.openxmlformats.org/officeDocument/2006/relationships/hyperlink" Target="mailto:Greg.Halich@uky.ed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5"/>
  <sheetViews>
    <sheetView showGridLines="0" tabSelected="1" zoomScaleNormal="100" workbookViewId="0">
      <selection activeCell="B5" sqref="B5:K7"/>
    </sheetView>
  </sheetViews>
  <sheetFormatPr defaultColWidth="9.140625" defaultRowHeight="12.75" x14ac:dyDescent="0.2"/>
  <cols>
    <col min="1" max="1" width="3.7109375" customWidth="1"/>
    <col min="2" max="11" width="10.7109375" customWidth="1"/>
  </cols>
  <sheetData>
    <row r="1" spans="2:11" ht="13.15" customHeight="1" x14ac:dyDescent="0.2"/>
    <row r="2" spans="2:11" ht="21.75" customHeight="1" x14ac:dyDescent="0.2">
      <c r="B2" s="319" t="s">
        <v>432</v>
      </c>
      <c r="C2" s="319"/>
      <c r="D2" s="319"/>
      <c r="E2" s="319"/>
      <c r="F2" s="319"/>
      <c r="G2" s="319"/>
      <c r="H2" s="319"/>
      <c r="I2" s="319"/>
      <c r="J2" s="319"/>
      <c r="K2" s="319"/>
    </row>
    <row r="4" spans="2:11" ht="15" x14ac:dyDescent="0.2">
      <c r="B4" s="324" t="s">
        <v>433</v>
      </c>
      <c r="C4" s="324"/>
      <c r="D4" s="324"/>
      <c r="E4" s="324"/>
      <c r="F4" s="324"/>
      <c r="G4" s="324"/>
      <c r="H4" s="324"/>
      <c r="I4" s="324"/>
      <c r="J4" s="324"/>
      <c r="K4" s="324"/>
    </row>
    <row r="5" spans="2:11" ht="14.25" customHeight="1" x14ac:dyDescent="0.2">
      <c r="B5" s="323" t="s">
        <v>185</v>
      </c>
      <c r="C5" s="323"/>
      <c r="D5" s="323"/>
      <c r="E5" s="323"/>
      <c r="F5" s="323"/>
      <c r="G5" s="323"/>
      <c r="H5" s="323"/>
      <c r="I5" s="323"/>
      <c r="J5" s="323"/>
      <c r="K5" s="323"/>
    </row>
    <row r="6" spans="2:11" ht="26.25" customHeight="1" x14ac:dyDescent="0.2">
      <c r="B6" s="323" t="s">
        <v>424</v>
      </c>
      <c r="C6" s="323"/>
      <c r="D6" s="323"/>
      <c r="E6" s="323"/>
      <c r="F6" s="323"/>
      <c r="G6" s="323"/>
      <c r="H6" s="323"/>
      <c r="I6" s="323"/>
      <c r="J6" s="323"/>
      <c r="K6" s="323"/>
    </row>
    <row r="7" spans="2:11" ht="41.25" customHeight="1" x14ac:dyDescent="0.2">
      <c r="B7" s="323" t="s">
        <v>431</v>
      </c>
      <c r="C7" s="323"/>
      <c r="D7" s="323"/>
      <c r="E7" s="323"/>
      <c r="F7" s="323"/>
      <c r="G7" s="323"/>
      <c r="H7" s="323"/>
      <c r="I7" s="323"/>
      <c r="J7" s="323"/>
      <c r="K7" s="323"/>
    </row>
    <row r="8" spans="2:11" ht="15" x14ac:dyDescent="0.2">
      <c r="B8" s="324" t="s">
        <v>134</v>
      </c>
      <c r="C8" s="324"/>
      <c r="D8" s="324"/>
      <c r="E8" s="324"/>
      <c r="F8" s="324"/>
      <c r="G8" s="324"/>
      <c r="H8" s="324"/>
      <c r="I8" s="324"/>
      <c r="J8" s="324"/>
      <c r="K8" s="324"/>
    </row>
    <row r="9" spans="2:11" ht="105" customHeight="1" x14ac:dyDescent="0.2">
      <c r="B9" s="323" t="s">
        <v>423</v>
      </c>
      <c r="C9" s="323"/>
      <c r="D9" s="323"/>
      <c r="E9" s="323"/>
      <c r="F9" s="323"/>
      <c r="G9" s="323"/>
      <c r="H9" s="323"/>
      <c r="I9" s="323"/>
      <c r="J9" s="323"/>
      <c r="K9" s="323"/>
    </row>
    <row r="10" spans="2:11" ht="144" customHeight="1" x14ac:dyDescent="0.2">
      <c r="B10" s="323" t="s">
        <v>430</v>
      </c>
      <c r="C10" s="323"/>
      <c r="D10" s="323"/>
      <c r="E10" s="323"/>
      <c r="F10" s="323"/>
      <c r="G10" s="323"/>
      <c r="H10" s="323"/>
      <c r="I10" s="323"/>
      <c r="J10" s="323"/>
      <c r="K10" s="323"/>
    </row>
    <row r="11" spans="2:11" ht="52.5" customHeight="1" x14ac:dyDescent="0.2">
      <c r="B11" s="323" t="s">
        <v>425</v>
      </c>
      <c r="C11" s="323"/>
      <c r="D11" s="323"/>
      <c r="E11" s="323"/>
      <c r="F11" s="323"/>
      <c r="G11" s="323"/>
      <c r="H11" s="323"/>
      <c r="I11" s="323"/>
      <c r="J11" s="323"/>
      <c r="K11" s="323"/>
    </row>
    <row r="12" spans="2:11" ht="27" customHeight="1" x14ac:dyDescent="0.2">
      <c r="B12" s="323" t="s">
        <v>307</v>
      </c>
      <c r="C12" s="323"/>
      <c r="D12" s="323"/>
      <c r="E12" s="323"/>
      <c r="F12" s="323"/>
      <c r="G12" s="323"/>
      <c r="H12" s="323"/>
      <c r="I12" s="323"/>
      <c r="J12" s="323"/>
      <c r="K12" s="323"/>
    </row>
    <row r="18" spans="2:11" x14ac:dyDescent="0.2">
      <c r="B18" s="320"/>
      <c r="C18" s="320"/>
      <c r="D18" s="320"/>
      <c r="E18" s="320"/>
      <c r="F18" s="320"/>
      <c r="G18" s="320"/>
      <c r="H18" s="320"/>
      <c r="I18" s="320"/>
      <c r="J18" s="320"/>
      <c r="K18" s="320"/>
    </row>
    <row r="19" spans="2:11" x14ac:dyDescent="0.2">
      <c r="B19" s="147"/>
      <c r="C19" s="147"/>
      <c r="D19" s="321" t="s">
        <v>130</v>
      </c>
      <c r="E19" s="321"/>
      <c r="F19" s="321"/>
      <c r="G19" s="321"/>
      <c r="H19" s="321"/>
      <c r="I19" s="321"/>
      <c r="J19" s="147"/>
      <c r="K19" s="147"/>
    </row>
    <row r="20" spans="2:11" x14ac:dyDescent="0.2">
      <c r="B20" s="147"/>
      <c r="C20" s="147" t="s">
        <v>131</v>
      </c>
      <c r="D20" s="147"/>
      <c r="E20" s="147"/>
      <c r="F20" s="101"/>
      <c r="G20" s="101"/>
      <c r="H20" s="101"/>
      <c r="I20" s="148" t="s">
        <v>296</v>
      </c>
      <c r="J20" s="147"/>
      <c r="K20" s="147"/>
    </row>
    <row r="21" spans="2:11" x14ac:dyDescent="0.2">
      <c r="B21" s="147"/>
      <c r="C21" s="147" t="s">
        <v>159</v>
      </c>
      <c r="D21" s="147"/>
      <c r="E21" s="147"/>
      <c r="F21" s="101"/>
      <c r="G21" s="101"/>
      <c r="H21" s="101"/>
      <c r="I21" s="148" t="s">
        <v>299</v>
      </c>
      <c r="J21" s="147"/>
      <c r="K21" s="147"/>
    </row>
    <row r="22" spans="2:11" x14ac:dyDescent="0.2">
      <c r="B22" s="147"/>
      <c r="C22" s="101" t="s">
        <v>132</v>
      </c>
      <c r="D22" s="101"/>
      <c r="E22" s="147"/>
      <c r="F22" s="147"/>
      <c r="G22" s="147"/>
      <c r="H22" s="147"/>
      <c r="I22" s="101" t="s">
        <v>297</v>
      </c>
      <c r="J22" s="147"/>
      <c r="K22" s="147"/>
    </row>
    <row r="23" spans="2:11" x14ac:dyDescent="0.2">
      <c r="B23" s="147"/>
      <c r="C23" s="147" t="s">
        <v>133</v>
      </c>
      <c r="D23" s="147"/>
      <c r="E23" s="147"/>
      <c r="F23" s="147"/>
      <c r="G23" s="147"/>
      <c r="H23" s="147"/>
      <c r="I23" s="148" t="s">
        <v>298</v>
      </c>
      <c r="J23" s="147"/>
      <c r="K23" s="147"/>
    </row>
    <row r="25" spans="2:11" s="8" customFormat="1" x14ac:dyDescent="0.2">
      <c r="B25" s="322" t="s">
        <v>434</v>
      </c>
      <c r="C25" s="322"/>
      <c r="D25" s="322"/>
      <c r="E25" s="322"/>
      <c r="F25" s="322"/>
      <c r="G25" s="322"/>
      <c r="H25" s="322"/>
      <c r="I25" s="322"/>
      <c r="J25" s="322"/>
      <c r="K25" s="322"/>
    </row>
  </sheetData>
  <sheetProtection algorithmName="SHA-512" hashValue="tWE/L0pLhRRceOU+Ea+3LdbN3CqdWP5AvrBedXDdSnIMbHya7BbfBTK7tKwO0PQXAT3YBRkdcInqOV5MCuSlpQ==" saltValue="KTIUM5WroBgP5/Jct24e7g==" spinCount="100000" sheet="1" objects="1" scenarios="1" formatCells="0" formatColumns="0" formatRows="0"/>
  <mergeCells count="13">
    <mergeCell ref="B2:K2"/>
    <mergeCell ref="B18:K18"/>
    <mergeCell ref="D19:I19"/>
    <mergeCell ref="B25:K25"/>
    <mergeCell ref="B6:K6"/>
    <mergeCell ref="B5:K5"/>
    <mergeCell ref="B4:K4"/>
    <mergeCell ref="B7:K7"/>
    <mergeCell ref="B8:K8"/>
    <mergeCell ref="B9:K9"/>
    <mergeCell ref="B10:K10"/>
    <mergeCell ref="B11:K11"/>
    <mergeCell ref="B12:K12"/>
  </mergeCells>
  <phoneticPr fontId="6" type="noConversion"/>
  <hyperlinks>
    <hyperlink ref="C22" r:id="rId1" xr:uid="{00000000-0004-0000-0000-000000000000}"/>
    <hyperlink ref="I22" r:id="rId2" xr:uid="{00000000-0004-0000-0000-000001000000}"/>
  </hyperlinks>
  <pageMargins left="0.75" right="0.75" top="1" bottom="1" header="0.5" footer="0.5"/>
  <pageSetup orientation="portrait" horizontalDpi="1200" verticalDpi="1200"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79"/>
  <sheetViews>
    <sheetView zoomScaleNormal="100" workbookViewId="0">
      <pane ySplit="17" topLeftCell="A18" activePane="bottomLeft" state="frozen"/>
      <selection activeCell="H25" sqref="H25"/>
      <selection pane="bottomLeft" activeCell="U69" sqref="U69"/>
    </sheetView>
  </sheetViews>
  <sheetFormatPr defaultRowHeight="12.75" x14ac:dyDescent="0.2"/>
  <cols>
    <col min="1" max="1" width="33.42578125" customWidth="1"/>
    <col min="2" max="6" width="9.28515625" customWidth="1"/>
    <col min="7" max="7" width="10.42578125" customWidth="1"/>
    <col min="8" max="8" width="8.5703125" customWidth="1"/>
    <col min="9" max="11" width="7.85546875" customWidth="1"/>
    <col min="12" max="12" width="9" customWidth="1"/>
    <col min="13" max="13" width="7.5703125" customWidth="1"/>
    <col min="14" max="16" width="7.140625" customWidth="1"/>
    <col min="17" max="17" width="9.140625" customWidth="1"/>
    <col min="18" max="18" width="8.42578125" customWidth="1"/>
    <col min="19" max="19" width="8.7109375" customWidth="1"/>
    <col min="20" max="20" width="4.7109375" customWidth="1"/>
    <col min="21" max="21" width="8.5703125" customWidth="1"/>
    <col min="22" max="22" width="8.140625" customWidth="1"/>
    <col min="23" max="23" width="8.7109375" customWidth="1"/>
    <col min="24" max="24" width="8.42578125" customWidth="1"/>
    <col min="25" max="25" width="8.5703125" customWidth="1"/>
    <col min="26" max="26" width="8.42578125" customWidth="1"/>
  </cols>
  <sheetData>
    <row r="1" spans="1:27" ht="18" x14ac:dyDescent="0.25">
      <c r="A1" s="512" t="s">
        <v>120</v>
      </c>
      <c r="B1" s="512"/>
      <c r="C1" s="512"/>
      <c r="D1" s="512"/>
      <c r="E1" s="512"/>
      <c r="F1" s="512"/>
      <c r="G1" s="512"/>
      <c r="H1" s="512"/>
      <c r="I1" s="512"/>
      <c r="J1" s="512"/>
      <c r="K1" s="512"/>
      <c r="L1" s="512"/>
      <c r="M1" s="512"/>
      <c r="N1" s="512"/>
      <c r="O1" s="512"/>
      <c r="P1" s="512"/>
      <c r="Q1" s="512"/>
      <c r="R1" s="512"/>
      <c r="S1" s="512"/>
      <c r="T1" s="512"/>
      <c r="U1" s="512"/>
      <c r="V1" s="512"/>
      <c r="W1" s="512"/>
      <c r="X1" s="512"/>
      <c r="Y1" s="512"/>
      <c r="Z1" s="512"/>
    </row>
    <row r="2" spans="1:27" x14ac:dyDescent="0.2">
      <c r="A2" s="72" t="s">
        <v>154</v>
      </c>
      <c r="B2" s="84">
        <f>'Machinery Calculations (Corn)'!B2</f>
        <v>2</v>
      </c>
      <c r="C2" s="72"/>
      <c r="D2" s="428" t="s">
        <v>110</v>
      </c>
      <c r="E2" s="428"/>
      <c r="F2" s="428"/>
      <c r="G2" s="428"/>
      <c r="H2" s="428"/>
      <c r="I2" s="428"/>
      <c r="J2" s="428"/>
      <c r="K2" s="428"/>
      <c r="L2" s="428"/>
      <c r="M2" s="428"/>
      <c r="N2" s="428"/>
      <c r="O2" s="428"/>
      <c r="P2" s="428"/>
      <c r="Q2" s="428"/>
      <c r="R2" s="428"/>
      <c r="S2" s="428"/>
      <c r="T2" s="428"/>
      <c r="U2" s="428"/>
      <c r="V2" s="428"/>
      <c r="W2" s="428"/>
      <c r="X2" s="428"/>
      <c r="Y2" s="428"/>
      <c r="Z2" s="428"/>
    </row>
    <row r="3" spans="1:27" hidden="1" x14ac:dyDescent="0.2">
      <c r="A3" s="72" t="s">
        <v>49</v>
      </c>
      <c r="B3" s="84">
        <f>'Machinery(Soybeans)'!C5</f>
        <v>3.5</v>
      </c>
      <c r="C3" s="72"/>
      <c r="D3" s="429" t="s">
        <v>98</v>
      </c>
      <c r="E3" s="429"/>
      <c r="F3" s="429"/>
      <c r="G3" s="429"/>
      <c r="H3" s="429"/>
      <c r="I3" s="429"/>
      <c r="J3" s="429"/>
      <c r="K3" s="429"/>
      <c r="L3" s="429"/>
      <c r="M3" s="429"/>
      <c r="N3" s="429"/>
      <c r="O3" s="429"/>
      <c r="P3" s="429"/>
      <c r="Q3" s="429"/>
      <c r="R3" s="429"/>
      <c r="S3" s="429"/>
      <c r="T3" s="429"/>
      <c r="U3" s="429"/>
      <c r="V3" s="429"/>
      <c r="W3" s="429"/>
      <c r="X3" s="429"/>
      <c r="Y3" s="429"/>
      <c r="Z3" s="429"/>
    </row>
    <row r="4" spans="1:27" hidden="1" x14ac:dyDescent="0.2">
      <c r="A4" s="72" t="s">
        <v>68</v>
      </c>
      <c r="B4" s="84">
        <f>'Machinery(Soybeans)'!C6</f>
        <v>20</v>
      </c>
      <c r="C4" s="72"/>
      <c r="D4" s="429" t="s">
        <v>100</v>
      </c>
      <c r="E4" s="429"/>
      <c r="F4" s="429"/>
      <c r="G4" s="429"/>
      <c r="H4" s="429"/>
      <c r="I4" s="429"/>
      <c r="J4" s="429"/>
      <c r="K4" s="429"/>
      <c r="L4" s="429"/>
      <c r="M4" s="429"/>
      <c r="N4" s="429"/>
      <c r="O4" s="429"/>
      <c r="P4" s="429"/>
      <c r="Q4" s="429"/>
      <c r="R4" s="429"/>
      <c r="S4" s="429"/>
      <c r="T4" s="429"/>
      <c r="U4" s="429"/>
      <c r="V4" s="429"/>
      <c r="W4" s="429"/>
      <c r="X4" s="429"/>
      <c r="Y4" s="429"/>
      <c r="Z4" s="429"/>
    </row>
    <row r="5" spans="1:27" hidden="1" x14ac:dyDescent="0.2">
      <c r="A5" s="72" t="s">
        <v>115</v>
      </c>
      <c r="B5" s="84" t="str">
        <f>'Machinery(Soybeans)'!C7</f>
        <v>Y</v>
      </c>
      <c r="C5" s="72"/>
      <c r="D5" s="429" t="s">
        <v>106</v>
      </c>
      <c r="E5" s="429"/>
      <c r="F5" s="429"/>
      <c r="G5" s="429"/>
      <c r="H5" s="429"/>
      <c r="I5" s="429"/>
      <c r="J5" s="429"/>
      <c r="K5" s="429"/>
      <c r="L5" s="429"/>
      <c r="M5" s="429"/>
      <c r="N5" s="429"/>
      <c r="O5" s="429"/>
      <c r="P5" s="429"/>
      <c r="Q5" s="429"/>
      <c r="R5" s="429"/>
      <c r="S5" s="429"/>
      <c r="T5" s="429"/>
      <c r="U5" s="429"/>
      <c r="V5" s="429"/>
      <c r="W5" s="429"/>
      <c r="X5" s="429"/>
      <c r="Y5" s="429"/>
      <c r="Z5" s="429"/>
    </row>
    <row r="6" spans="1:27" hidden="1" x14ac:dyDescent="0.2">
      <c r="A6" s="72" t="s">
        <v>69</v>
      </c>
      <c r="B6" s="84">
        <f>'Machinery(Soybeans)'!C8</f>
        <v>15</v>
      </c>
      <c r="C6" s="72"/>
      <c r="D6" s="429" t="s">
        <v>99</v>
      </c>
      <c r="E6" s="429"/>
      <c r="F6" s="429"/>
      <c r="G6" s="429"/>
      <c r="H6" s="429"/>
      <c r="I6" s="429"/>
      <c r="J6" s="429"/>
      <c r="K6" s="429"/>
      <c r="L6" s="429"/>
      <c r="M6" s="429"/>
      <c r="N6" s="429"/>
      <c r="O6" s="429"/>
      <c r="P6" s="429"/>
      <c r="Q6" s="429"/>
      <c r="R6" s="429"/>
      <c r="S6" s="429"/>
      <c r="T6" s="429"/>
      <c r="U6" s="429"/>
      <c r="V6" s="429"/>
      <c r="W6" s="429"/>
      <c r="X6" s="429"/>
      <c r="Y6" s="429"/>
      <c r="Z6" s="429"/>
    </row>
    <row r="7" spans="1:27" hidden="1" x14ac:dyDescent="0.2">
      <c r="A7" s="72" t="s">
        <v>70</v>
      </c>
      <c r="B7" s="86">
        <f>'Machinery(Soybeans)'!C9</f>
        <v>0</v>
      </c>
      <c r="C7" s="72"/>
      <c r="D7" s="429" t="s">
        <v>107</v>
      </c>
      <c r="E7" s="429"/>
      <c r="F7" s="429"/>
      <c r="G7" s="429"/>
      <c r="H7" s="429"/>
      <c r="I7" s="429"/>
      <c r="J7" s="429"/>
      <c r="K7" s="429"/>
      <c r="L7" s="429"/>
      <c r="M7" s="429"/>
      <c r="N7" s="429"/>
      <c r="O7" s="429"/>
      <c r="P7" s="429"/>
      <c r="Q7" s="429"/>
      <c r="R7" s="429"/>
      <c r="S7" s="429"/>
      <c r="T7" s="429"/>
      <c r="U7" s="429"/>
      <c r="V7" s="429"/>
      <c r="W7" s="429"/>
      <c r="X7" s="429"/>
      <c r="Y7" s="429"/>
      <c r="Z7" s="429"/>
    </row>
    <row r="8" spans="1:27" hidden="1" x14ac:dyDescent="0.2">
      <c r="A8" s="72" t="s">
        <v>103</v>
      </c>
      <c r="B8" s="87">
        <f>Soybeans!I26</f>
        <v>35</v>
      </c>
      <c r="C8" s="72"/>
      <c r="D8" s="429" t="s">
        <v>119</v>
      </c>
      <c r="E8" s="429"/>
      <c r="F8" s="429"/>
      <c r="G8" s="429"/>
      <c r="H8" s="429"/>
      <c r="I8" s="429"/>
      <c r="J8" s="429"/>
      <c r="K8" s="429"/>
      <c r="L8" s="429"/>
      <c r="M8" s="429"/>
      <c r="N8" s="429"/>
      <c r="O8" s="429"/>
      <c r="P8" s="429"/>
      <c r="Q8" s="429"/>
      <c r="R8" s="429"/>
      <c r="S8" s="429"/>
      <c r="T8" s="429"/>
      <c r="U8" s="429"/>
      <c r="V8" s="429"/>
      <c r="W8" s="429"/>
      <c r="X8" s="429"/>
      <c r="Y8" s="429"/>
      <c r="Z8" s="429"/>
    </row>
    <row r="9" spans="1:27" hidden="1" x14ac:dyDescent="0.2">
      <c r="A9" s="513" t="s">
        <v>104</v>
      </c>
      <c r="B9" s="514"/>
      <c r="C9" s="514"/>
      <c r="D9" s="514"/>
      <c r="E9" s="514"/>
      <c r="F9" s="514"/>
      <c r="G9" s="515"/>
      <c r="H9" s="426" t="s">
        <v>108</v>
      </c>
      <c r="I9" s="415"/>
      <c r="J9" s="415"/>
      <c r="K9" s="415"/>
      <c r="L9" s="415"/>
      <c r="M9" s="415"/>
      <c r="N9" s="415"/>
      <c r="O9" s="415"/>
      <c r="P9" s="415"/>
      <c r="Q9" s="415"/>
      <c r="R9" s="415"/>
      <c r="S9" s="415"/>
      <c r="T9" s="415"/>
      <c r="U9" s="415"/>
      <c r="V9" s="415"/>
      <c r="W9" s="415"/>
      <c r="X9" s="415"/>
      <c r="Y9" s="415"/>
      <c r="Z9" s="416"/>
    </row>
    <row r="10" spans="1:27" hidden="1" x14ac:dyDescent="0.2">
      <c r="A10" s="513" t="s">
        <v>105</v>
      </c>
      <c r="B10" s="514"/>
      <c r="C10" s="514"/>
      <c r="D10" s="514"/>
      <c r="E10" s="514"/>
      <c r="F10" s="514"/>
      <c r="G10" s="515"/>
      <c r="H10" s="426" t="s">
        <v>121</v>
      </c>
      <c r="I10" s="415"/>
      <c r="J10" s="415"/>
      <c r="K10" s="415"/>
      <c r="L10" s="415"/>
      <c r="M10" s="415"/>
      <c r="N10" s="415"/>
      <c r="O10" s="415"/>
      <c r="P10" s="415"/>
      <c r="Q10" s="415"/>
      <c r="R10" s="415"/>
      <c r="S10" s="415"/>
      <c r="T10" s="415"/>
      <c r="U10" s="415"/>
      <c r="V10" s="415"/>
      <c r="W10" s="415"/>
      <c r="X10" s="415"/>
      <c r="Y10" s="415"/>
      <c r="Z10" s="416"/>
    </row>
    <row r="11" spans="1:27" hidden="1" x14ac:dyDescent="0.2">
      <c r="A11" s="513" t="s">
        <v>118</v>
      </c>
      <c r="B11" s="514"/>
      <c r="C11" s="514"/>
      <c r="D11" s="514"/>
      <c r="E11" s="514"/>
      <c r="F11" s="514"/>
      <c r="G11" s="515"/>
      <c r="H11" s="426" t="s">
        <v>122</v>
      </c>
      <c r="I11" s="415"/>
      <c r="J11" s="415"/>
      <c r="K11" s="415"/>
      <c r="L11" s="415"/>
      <c r="M11" s="415"/>
      <c r="N11" s="415"/>
      <c r="O11" s="415"/>
      <c r="P11" s="415"/>
      <c r="Q11" s="415"/>
      <c r="R11" s="415"/>
      <c r="S11" s="415"/>
      <c r="T11" s="415"/>
      <c r="U11" s="415"/>
      <c r="V11" s="415"/>
      <c r="W11" s="415"/>
      <c r="X11" s="415"/>
      <c r="Y11" s="415"/>
      <c r="Z11" s="416"/>
    </row>
    <row r="12" spans="1:27" x14ac:dyDescent="0.2">
      <c r="A12" s="72" t="s">
        <v>82</v>
      </c>
      <c r="B12" s="88">
        <v>0.33</v>
      </c>
      <c r="C12" s="72"/>
      <c r="D12" s="72"/>
      <c r="F12" s="88"/>
      <c r="G12" s="89"/>
      <c r="H12" s="414"/>
      <c r="I12" s="415"/>
      <c r="J12" s="415"/>
      <c r="K12" s="415"/>
      <c r="L12" s="415"/>
      <c r="M12" s="415"/>
      <c r="N12" s="415"/>
      <c r="O12" s="415"/>
      <c r="P12" s="415"/>
      <c r="Q12" s="415"/>
      <c r="R12" s="415"/>
      <c r="S12" s="415"/>
      <c r="T12" s="415"/>
      <c r="U12" s="415"/>
      <c r="V12" s="415"/>
      <c r="W12" s="415"/>
      <c r="X12" s="415"/>
      <c r="Y12" s="415"/>
      <c r="Z12" s="416"/>
    </row>
    <row r="13" spans="1:27" x14ac:dyDescent="0.2">
      <c r="A13" s="66" t="s">
        <v>375</v>
      </c>
      <c r="B13" s="107">
        <v>0.15</v>
      </c>
      <c r="C13" s="72"/>
      <c r="D13" s="72"/>
      <c r="E13" s="88"/>
      <c r="F13" s="88"/>
      <c r="G13" s="89"/>
      <c r="H13" s="106"/>
      <c r="I13" s="104"/>
      <c r="J13" s="104"/>
      <c r="K13" s="104"/>
      <c r="L13" s="104"/>
      <c r="M13" s="104"/>
      <c r="N13" s="104"/>
      <c r="O13" s="104"/>
      <c r="P13" s="104"/>
      <c r="Q13" s="104"/>
      <c r="R13" s="104"/>
      <c r="S13" s="104"/>
      <c r="T13" s="104"/>
      <c r="U13" s="102"/>
      <c r="V13" s="102"/>
      <c r="W13" s="102"/>
      <c r="X13" s="102"/>
      <c r="Y13" s="102"/>
      <c r="Z13" s="103"/>
    </row>
    <row r="14" spans="1:27" ht="13.15" customHeight="1" x14ac:dyDescent="0.2">
      <c r="A14" s="66" t="s">
        <v>376</v>
      </c>
      <c r="B14" s="108">
        <v>15</v>
      </c>
      <c r="C14" s="72"/>
      <c r="D14" s="72"/>
      <c r="E14" s="88"/>
      <c r="F14" s="88"/>
      <c r="G14" s="88"/>
      <c r="H14" s="402" t="s">
        <v>101</v>
      </c>
      <c r="I14" s="403"/>
      <c r="J14" s="403"/>
      <c r="K14" s="403"/>
      <c r="L14" s="403"/>
      <c r="M14" s="403"/>
      <c r="N14" s="403"/>
      <c r="O14" s="403"/>
      <c r="P14" s="403"/>
      <c r="Q14" s="403"/>
      <c r="R14" s="403"/>
      <c r="S14" s="403"/>
      <c r="T14" s="404"/>
      <c r="U14" s="417" t="s">
        <v>96</v>
      </c>
      <c r="V14" s="418"/>
      <c r="W14" s="418"/>
      <c r="X14" s="418"/>
      <c r="Y14" s="418"/>
      <c r="Z14" s="419"/>
    </row>
    <row r="15" spans="1:27" x14ac:dyDescent="0.2">
      <c r="A15" s="72" t="s">
        <v>141</v>
      </c>
      <c r="B15" s="91">
        <f>IF('Machinery(Soybeans)'!C10='Machinery(Soybeans)'!B64,'Machinery(Soybeans)'!C11,'Machinery(Soybeans)'!D11)</f>
        <v>0.75</v>
      </c>
      <c r="C15" s="72"/>
      <c r="D15" s="72"/>
      <c r="E15" s="85"/>
      <c r="F15" s="88"/>
      <c r="G15" s="88"/>
      <c r="H15" s="405"/>
      <c r="I15" s="406"/>
      <c r="J15" s="406"/>
      <c r="K15" s="406"/>
      <c r="L15" s="406"/>
      <c r="M15" s="406"/>
      <c r="N15" s="406"/>
      <c r="O15" s="406"/>
      <c r="P15" s="406"/>
      <c r="Q15" s="406"/>
      <c r="R15" s="406"/>
      <c r="S15" s="406"/>
      <c r="T15" s="407"/>
      <c r="U15" s="32" t="str">
        <f>'Machinery(Soybeans)'!G19</f>
        <v>Increase</v>
      </c>
      <c r="V15" s="32" t="str">
        <f>'Machinery(Soybeans)'!J19</f>
        <v>Increase</v>
      </c>
      <c r="W15" s="32" t="str">
        <f>'Machinery(Soybeans)'!J19</f>
        <v>Increase</v>
      </c>
      <c r="X15" s="32" t="str">
        <f>'Machinery(Soybeans)'!H19</f>
        <v>Increase</v>
      </c>
      <c r="Y15" s="32" t="str">
        <f>'Machinery(Soybeans)'!I19</f>
        <v>Increase</v>
      </c>
      <c r="Z15" s="32" t="str">
        <f>'Machinery(Soybeans)'!K19</f>
        <v>Increase</v>
      </c>
      <c r="AA15" s="15"/>
    </row>
    <row r="16" spans="1:27" x14ac:dyDescent="0.2">
      <c r="A16" s="66" t="s">
        <v>377</v>
      </c>
      <c r="B16" s="109">
        <v>0.15</v>
      </c>
      <c r="C16" s="72"/>
      <c r="D16" s="72"/>
      <c r="E16" s="88"/>
      <c r="F16" s="88"/>
      <c r="G16" s="88"/>
      <c r="H16" s="408"/>
      <c r="I16" s="409"/>
      <c r="J16" s="409"/>
      <c r="K16" s="409"/>
      <c r="L16" s="409"/>
      <c r="M16" s="409"/>
      <c r="N16" s="409"/>
      <c r="O16" s="409"/>
      <c r="P16" s="409"/>
      <c r="Q16" s="409"/>
      <c r="R16" s="409"/>
      <c r="S16" s="409"/>
      <c r="T16" s="410"/>
      <c r="U16" s="76">
        <f>IF('Machinery(Soybeans)'!G19='Machinery(Soybeans)'!B53,0,'Machinery(Soybeans)'!G20)</f>
        <v>0</v>
      </c>
      <c r="V16" s="76">
        <f>IF('Machinery(Soybeans)'!J19='Machinery(Soybeans)'!B53,0,'Machinery(Soybeans)'!J20)</f>
        <v>0</v>
      </c>
      <c r="W16" s="76">
        <f>IF('Machinery(Soybeans)'!J19='Machinery(Soybeans)'!B53,0,'Machinery(Soybeans)'!J20)</f>
        <v>0</v>
      </c>
      <c r="X16" s="76">
        <f>IF('Machinery(Soybeans)'!H19='Machinery(Soybeans)'!B53,0,'Machinery(Soybeans)'!H20)</f>
        <v>0</v>
      </c>
      <c r="Y16" s="76">
        <f>IF('Machinery(Soybeans)'!I19='Machinery(Soybeans)'!B53,0,'Machinery(Soybeans)'!I20)</f>
        <v>0</v>
      </c>
      <c r="Z16" s="81">
        <f>IF('Machinery(Soybeans)'!K19='Machinery(Soybeans)'!B53,0,'Machinery(Soybeans)'!K20)</f>
        <v>0</v>
      </c>
    </row>
    <row r="17" spans="1:26" s="1" customFormat="1" ht="40.5" customHeight="1" x14ac:dyDescent="0.2">
      <c r="A17" s="3" t="s">
        <v>0</v>
      </c>
      <c r="B17" s="3" t="s">
        <v>283</v>
      </c>
      <c r="C17" s="3" t="s">
        <v>284</v>
      </c>
      <c r="D17" s="3" t="s">
        <v>282</v>
      </c>
      <c r="E17" s="21" t="s">
        <v>1</v>
      </c>
      <c r="F17" s="21" t="s">
        <v>109</v>
      </c>
      <c r="G17" s="21" t="s">
        <v>117</v>
      </c>
      <c r="H17" s="3" t="s">
        <v>372</v>
      </c>
      <c r="I17" s="112" t="s">
        <v>10</v>
      </c>
      <c r="J17" s="112" t="s">
        <v>379</v>
      </c>
      <c r="K17" s="112" t="s">
        <v>380</v>
      </c>
      <c r="L17" s="3" t="s">
        <v>2</v>
      </c>
      <c r="M17" s="112" t="s">
        <v>6</v>
      </c>
      <c r="N17" s="3" t="s">
        <v>3</v>
      </c>
      <c r="O17" s="112" t="s">
        <v>378</v>
      </c>
      <c r="P17" s="3" t="s">
        <v>4</v>
      </c>
      <c r="Q17" s="3" t="s">
        <v>7</v>
      </c>
      <c r="R17" s="3" t="s">
        <v>8</v>
      </c>
      <c r="S17" s="3" t="s">
        <v>9</v>
      </c>
      <c r="T17" s="3"/>
      <c r="U17" s="3" t="s">
        <v>86</v>
      </c>
      <c r="V17" s="3" t="s">
        <v>88</v>
      </c>
      <c r="W17" s="3" t="s">
        <v>71</v>
      </c>
      <c r="X17" s="3" t="s">
        <v>8</v>
      </c>
      <c r="Y17" s="3" t="s">
        <v>89</v>
      </c>
      <c r="Z17" s="3" t="s">
        <v>50</v>
      </c>
    </row>
    <row r="18" spans="1:26" x14ac:dyDescent="0.2">
      <c r="A18" s="4"/>
      <c r="B18" s="4"/>
      <c r="C18" s="4"/>
      <c r="D18" s="4"/>
      <c r="E18" s="22"/>
      <c r="F18" s="20"/>
      <c r="G18" s="27"/>
      <c r="H18" s="4"/>
      <c r="I18" s="4"/>
      <c r="J18" s="4"/>
      <c r="K18" s="4"/>
      <c r="L18" s="4"/>
      <c r="M18" s="4"/>
      <c r="N18" s="4"/>
      <c r="O18" s="4"/>
      <c r="P18" s="4"/>
      <c r="Q18" s="4"/>
      <c r="R18" s="4"/>
      <c r="S18" s="4"/>
      <c r="T18" s="4"/>
      <c r="U18" s="4"/>
      <c r="V18" s="4"/>
      <c r="W18" s="4"/>
      <c r="X18" s="4"/>
      <c r="Y18" s="4"/>
      <c r="Z18" s="4"/>
    </row>
    <row r="19" spans="1:26" x14ac:dyDescent="0.2">
      <c r="A19" s="9" t="s">
        <v>11</v>
      </c>
      <c r="B19" s="9"/>
      <c r="C19" s="9"/>
      <c r="D19" s="9"/>
      <c r="E19" s="23"/>
      <c r="F19" s="24"/>
      <c r="G19" s="28"/>
      <c r="H19" s="6"/>
      <c r="I19" s="6"/>
      <c r="J19" s="6"/>
      <c r="K19" s="6"/>
      <c r="L19" s="4"/>
      <c r="M19" s="4"/>
      <c r="N19" s="4"/>
      <c r="O19" s="4"/>
      <c r="P19" s="4"/>
      <c r="Q19" s="4"/>
      <c r="R19" s="4"/>
      <c r="S19" s="4"/>
      <c r="T19" s="4"/>
      <c r="U19" s="4"/>
      <c r="V19" s="4"/>
      <c r="W19" s="4"/>
      <c r="X19" s="4"/>
      <c r="Y19" s="4"/>
      <c r="Z19" s="4"/>
    </row>
    <row r="20" spans="1:26" x14ac:dyDescent="0.2">
      <c r="A20" s="4" t="s">
        <v>12</v>
      </c>
      <c r="B20" s="74"/>
      <c r="C20" s="74"/>
      <c r="D20" s="90"/>
      <c r="E20" s="69"/>
      <c r="F20" s="26"/>
      <c r="G20" s="29"/>
      <c r="H20" s="6"/>
      <c r="I20" s="6">
        <f>IF(G20&gt;0,G20,H20-(L20*B$2*1.05)+M20-N20*12.5+P20)</f>
        <v>6.6014697601010086</v>
      </c>
      <c r="J20" s="6"/>
      <c r="K20" s="6"/>
      <c r="L20" s="10">
        <v>2.06175</v>
      </c>
      <c r="M20" s="67">
        <f t="shared" ref="M20:M29" si="0">L20*B$3*(1+B$13)</f>
        <v>8.2985437499999986</v>
      </c>
      <c r="N20" s="11">
        <v>0.25072390572390574</v>
      </c>
      <c r="O20" s="113">
        <f t="shared" ref="O20:O29" si="1">N20*(1+B$16)</f>
        <v>0.28833249158249158</v>
      </c>
      <c r="P20" s="67">
        <f>O20*B$4*(1-B$7)+O20*B$6*(B$7)</f>
        <v>5.7666498316498318</v>
      </c>
      <c r="Q20" s="5">
        <f t="shared" ref="Q20:Q29" si="2">I20-M20-P20</f>
        <v>-7.4637238215488217</v>
      </c>
      <c r="R20" s="5">
        <f>Q20*B$12</f>
        <v>-2.4630288611111113</v>
      </c>
      <c r="S20" s="5">
        <f t="shared" ref="S20:S29" si="3">Q20-R20</f>
        <v>-5.0006949604377109</v>
      </c>
      <c r="T20" s="4"/>
      <c r="U20" s="5">
        <f t="shared" ref="U20:U29" si="4">IF(U$15="Increase",IF(F20="y",0,IF($E20&gt;0,M20*$E20*(1+U$16),0)),IF(F20="y",0,IF($E20&gt;0,M20*$E20*(1-U$16),0)))</f>
        <v>0</v>
      </c>
      <c r="V20" s="5">
        <f t="shared" ref="V20:V23" si="5">IF(V$15="Increase",IF(F20="y",0,IF($E20&gt;0,(O20*B$4*(1-B$7))*$E20*(1+V$16),0)),IF(F20="y",0,IF($E20&gt;0,(O20*B$4*(1-B$7))*$E20*(1-V$16),0)))</f>
        <v>0</v>
      </c>
      <c r="W20" s="5">
        <f t="shared" ref="W20:W23" si="6">IF(W$15="Increase",IF(F20="y",0,IF($E20&gt;0,(O20*B$6*(B$7))*$E20*(1+W$16),0)),IF(F20="y",0,IF($E20&gt;0,(O20*B$6*(B$7))*$E20*(1-W$16),0)))</f>
        <v>0</v>
      </c>
      <c r="X20" s="5">
        <f t="shared" ref="X20:X29" si="7">IF(X$15="Increase",IF(F20="y",0,IF($E20&gt;0,R20*$E20*(1+X$16),0)),IF(F20="y",0,IF($E20&gt;0,R20*$E20*(1-X$16),0)))</f>
        <v>0</v>
      </c>
      <c r="Y20" s="5">
        <f t="shared" ref="Y20:Y29" si="8">IF(Y$15="Increase",IF(F20="y",0,IF($E20&gt;0,S20*$E20*(1+Y$16),0)),IF(F20="y",0,IF($E20&gt;0,S20*$E20*(1-Y$16),0)))</f>
        <v>0</v>
      </c>
      <c r="Z20" s="5">
        <f t="shared" ref="Z20:Z29" si="9">IF(Z$15="Increase",IF(F20="y",I20*E20*(1+Z$16),0),IF(F20="y",I20*E20*(1-Z$16),0))</f>
        <v>0</v>
      </c>
    </row>
    <row r="21" spans="1:26" x14ac:dyDescent="0.2">
      <c r="A21" s="4" t="s">
        <v>13</v>
      </c>
      <c r="B21" s="74">
        <v>0.5</v>
      </c>
      <c r="C21" s="74">
        <v>0</v>
      </c>
      <c r="D21" s="90">
        <f>IF('Machinery(Soybeans)'!B33='Machinery(Soybeans)'!D54,'Machinery(Soybeans)'!D33,IF('Machinery(Soybeans)'!B34='Machinery(Soybeans)'!D58,'Machinery(Soybeans)'!D34,0))</f>
        <v>0</v>
      </c>
      <c r="E21" s="95">
        <f>IF('Machinery(Soybeans)'!C16='Machinery(Soybeans)'!B58,0,IF('Machinery(Soybeans)'!C17='Machinery(Soybeans)'!B63,D21,IF(OR('Machinery(Soybeans)'!B33='Machinery(Soybeans)'!D54,'Machinery(Soybeans)'!B34='Machinery(Soybeans)'!D58),B21,0)))</f>
        <v>0</v>
      </c>
      <c r="F21" s="96" t="str">
        <f>IF('Machinery(Soybeans)'!C17='Machinery(Soybeans)'!B64,'Machinery(Soybeans)'!B49,IF('Machinery(Soybeans)'!B33='Machinery(Soybeans)'!D54,'Machinery(Soybeans)'!E33,IF('Machinery(Soybeans)'!B34='Machinery(Soybeans)'!D58,'Machinery(Soybeans)'!E34,'Machinery(Soybeans)'!B49)))</f>
        <v>N</v>
      </c>
      <c r="G21" s="29"/>
      <c r="H21" s="6">
        <v>18</v>
      </c>
      <c r="I21" s="111">
        <f>H21+J21+K21</f>
        <v>19.975075757575759</v>
      </c>
      <c r="J21" s="111">
        <f>L21*(B$3-B$2)</f>
        <v>1.59</v>
      </c>
      <c r="K21" s="111">
        <f>(B$4*(1-B$7)+B$6*(B$7) - B$14)*O21</f>
        <v>0.38507575757575752</v>
      </c>
      <c r="L21" s="10">
        <v>1.06</v>
      </c>
      <c r="M21" s="67">
        <f t="shared" si="0"/>
        <v>4.2664999999999997</v>
      </c>
      <c r="N21" s="11">
        <v>6.6969696969696971E-2</v>
      </c>
      <c r="O21" s="113">
        <f t="shared" si="1"/>
        <v>7.7015151515151509E-2</v>
      </c>
      <c r="P21" s="67">
        <f t="shared" ref="P21:P29" si="10">O21*B$4*(1-B$7)+O21*B$6*(B$7)</f>
        <v>1.5403030303030301</v>
      </c>
      <c r="Q21" s="5">
        <f t="shared" si="2"/>
        <v>14.168272727272729</v>
      </c>
      <c r="R21" s="5">
        <f>Q21*B$12</f>
        <v>4.6755300000000011</v>
      </c>
      <c r="S21" s="5">
        <f t="shared" si="3"/>
        <v>9.4927427272727272</v>
      </c>
      <c r="T21" s="4"/>
      <c r="U21" s="5">
        <f t="shared" si="4"/>
        <v>0</v>
      </c>
      <c r="V21" s="5">
        <f t="shared" si="5"/>
        <v>0</v>
      </c>
      <c r="W21" s="5">
        <f t="shared" si="6"/>
        <v>0</v>
      </c>
      <c r="X21" s="5">
        <f t="shared" si="7"/>
        <v>0</v>
      </c>
      <c r="Y21" s="5">
        <f t="shared" si="8"/>
        <v>0</v>
      </c>
      <c r="Z21" s="5">
        <f t="shared" si="9"/>
        <v>0</v>
      </c>
    </row>
    <row r="22" spans="1:26" x14ac:dyDescent="0.2">
      <c r="A22" s="4" t="s">
        <v>14</v>
      </c>
      <c r="B22" s="74">
        <v>0.5</v>
      </c>
      <c r="C22" s="74">
        <v>0</v>
      </c>
      <c r="D22" s="90">
        <f>IF('Machinery(Soybeans)'!B33='Machinery(Soybeans)'!D55,'Machinery(Soybeans)'!D33,IF('Machinery(Soybeans)'!B34='Machinery(Soybeans)'!D59,'Machinery(Soybeans)'!D34,0))</f>
        <v>0</v>
      </c>
      <c r="E22" s="95">
        <f>IF('Machinery(Soybeans)'!C16='Machinery(Soybeans)'!B58,0,IF('Machinery(Soybeans)'!C17='Machinery(Soybeans)'!B63,D22,IF(OR('Machinery(Soybeans)'!B33='Machinery(Soybeans)'!D55,'Machinery(Soybeans)'!B34='Machinery(Soybeans)'!D59),B22,0)))</f>
        <v>0</v>
      </c>
      <c r="F22" s="96" t="str">
        <f>IF('Machinery(Soybeans)'!C17='Machinery(Soybeans)'!B64,'Machinery(Soybeans)'!B49,IF('Machinery(Soybeans)'!B33='Machinery(Soybeans)'!D55,'Machinery(Soybeans)'!E33,IF('Machinery(Soybeans)'!B34='Machinery(Soybeans)'!D59,'Machinery(Soybeans)'!E34,'Machinery(Soybeans)'!B49)))</f>
        <v>N</v>
      </c>
      <c r="G22" s="29"/>
      <c r="H22" s="6">
        <v>15.5</v>
      </c>
      <c r="I22" s="111">
        <f>H22+J22+K22</f>
        <v>17.611535353535356</v>
      </c>
      <c r="J22" s="111">
        <f>L22*(B$3-B$2)</f>
        <v>1.353</v>
      </c>
      <c r="K22" s="111">
        <f>(B$4*(1-B$7)+B$6*(B$7) - B$14)*O22</f>
        <v>0.7585353535353534</v>
      </c>
      <c r="L22" s="10">
        <v>0.90200000000000002</v>
      </c>
      <c r="M22" s="67">
        <f t="shared" si="0"/>
        <v>3.6305499999999999</v>
      </c>
      <c r="N22" s="11">
        <v>0.13191919191919191</v>
      </c>
      <c r="O22" s="113">
        <f t="shared" si="1"/>
        <v>0.15170707070707068</v>
      </c>
      <c r="P22" s="67">
        <f t="shared" si="10"/>
        <v>3.0341414141414136</v>
      </c>
      <c r="Q22" s="5">
        <f t="shared" si="2"/>
        <v>10.946843939393943</v>
      </c>
      <c r="R22" s="5">
        <f>Q22*B$12</f>
        <v>3.6124585000000016</v>
      </c>
      <c r="S22" s="5">
        <f t="shared" si="3"/>
        <v>7.3343854393939418</v>
      </c>
      <c r="T22" s="4"/>
      <c r="U22" s="5">
        <f t="shared" si="4"/>
        <v>0</v>
      </c>
      <c r="V22" s="5">
        <f t="shared" si="5"/>
        <v>0</v>
      </c>
      <c r="W22" s="5">
        <f t="shared" si="6"/>
        <v>0</v>
      </c>
      <c r="X22" s="5">
        <f t="shared" si="7"/>
        <v>0</v>
      </c>
      <c r="Y22" s="5">
        <f t="shared" si="8"/>
        <v>0</v>
      </c>
      <c r="Z22" s="5">
        <f t="shared" si="9"/>
        <v>0</v>
      </c>
    </row>
    <row r="23" spans="1:26" x14ac:dyDescent="0.2">
      <c r="A23" s="4" t="s">
        <v>15</v>
      </c>
      <c r="B23" s="4"/>
      <c r="C23" s="4"/>
      <c r="D23" s="4"/>
      <c r="E23" s="97"/>
      <c r="F23" s="96"/>
      <c r="G23" s="29"/>
      <c r="H23" s="6"/>
      <c r="I23" s="6">
        <f>IF(G23&gt;0,G23,H23-(L23*B$2*1.05)+M23-N23*12.5+P23)</f>
        <v>5.0775277777777763</v>
      </c>
      <c r="J23" s="6"/>
      <c r="K23" s="6"/>
      <c r="L23" s="10">
        <v>1.87</v>
      </c>
      <c r="M23" s="67">
        <f t="shared" si="0"/>
        <v>7.5267499999999989</v>
      </c>
      <c r="N23" s="11">
        <v>0.14074074074074072</v>
      </c>
      <c r="O23" s="113">
        <f t="shared" si="1"/>
        <v>0.16185185185185183</v>
      </c>
      <c r="P23" s="67">
        <f t="shared" si="10"/>
        <v>3.2370370370370365</v>
      </c>
      <c r="Q23" s="5">
        <f t="shared" si="2"/>
        <v>-5.6862592592592591</v>
      </c>
      <c r="R23" s="5">
        <f>Q23*B$12</f>
        <v>-1.8764655555555556</v>
      </c>
      <c r="S23" s="5">
        <f t="shared" si="3"/>
        <v>-3.8097937037037033</v>
      </c>
      <c r="T23" s="4"/>
      <c r="U23" s="5">
        <f t="shared" si="4"/>
        <v>0</v>
      </c>
      <c r="V23" s="5">
        <f t="shared" si="5"/>
        <v>0</v>
      </c>
      <c r="W23" s="5">
        <f t="shared" si="6"/>
        <v>0</v>
      </c>
      <c r="X23" s="5">
        <f t="shared" si="7"/>
        <v>0</v>
      </c>
      <c r="Y23" s="5">
        <f t="shared" si="8"/>
        <v>0</v>
      </c>
      <c r="Z23" s="5">
        <f t="shared" si="9"/>
        <v>0</v>
      </c>
    </row>
    <row r="24" spans="1:26" x14ac:dyDescent="0.2">
      <c r="A24" s="4"/>
      <c r="B24" s="4"/>
      <c r="C24" s="4"/>
      <c r="D24" s="4"/>
      <c r="E24" s="97"/>
      <c r="F24" s="96"/>
      <c r="G24" s="29"/>
      <c r="H24" s="6"/>
      <c r="I24" s="6"/>
      <c r="J24" s="6"/>
      <c r="K24" s="6"/>
      <c r="L24" s="10"/>
      <c r="M24" s="5"/>
      <c r="N24" s="11"/>
      <c r="O24" s="11"/>
      <c r="P24" s="5"/>
      <c r="Q24" s="5"/>
      <c r="R24" s="5"/>
      <c r="S24" s="5"/>
      <c r="T24" s="4"/>
      <c r="U24" s="5"/>
      <c r="V24" s="5"/>
      <c r="W24" s="5"/>
      <c r="X24" s="5"/>
      <c r="Y24" s="5"/>
      <c r="Z24" s="5"/>
    </row>
    <row r="25" spans="1:26" x14ac:dyDescent="0.2">
      <c r="A25" s="4" t="s">
        <v>16</v>
      </c>
      <c r="B25" s="74">
        <v>2</v>
      </c>
      <c r="C25" s="74">
        <v>0</v>
      </c>
      <c r="D25" s="90">
        <f>IF('Machinery(Soybeans)'!C16='Machinery(Soybeans)'!B58,0,'Machinery(Soybeans)'!D27)</f>
        <v>0</v>
      </c>
      <c r="E25" s="95">
        <f>IF('Machinery(Soybeans)'!$C$17='Machinery(Soybeans)'!$B$63,D25,IF('Machinery(Soybeans)'!$C$16='Machinery(Soybeans)'!$B$59,B25,C25))</f>
        <v>0</v>
      </c>
      <c r="F25" s="96" t="str">
        <f>IF('Machinery(Soybeans)'!C17='Machinery(Soybeans)'!B64,'Machinery(Soybeans)'!B49,'Machinery(Soybeans)'!E27)</f>
        <v>N</v>
      </c>
      <c r="G25" s="29"/>
      <c r="H25" s="6">
        <v>14.5</v>
      </c>
      <c r="I25" s="111">
        <f>H25+J25+K25</f>
        <v>15.702300505050506</v>
      </c>
      <c r="J25" s="111">
        <f>L25*(B$3-B$2)</f>
        <v>0.93600000000000017</v>
      </c>
      <c r="K25" s="111">
        <f>(B$4*(1-B$7)+B$6*(B$7) - B$14)*O25</f>
        <v>0.26630050505050507</v>
      </c>
      <c r="L25" s="10">
        <v>0.62400000000000011</v>
      </c>
      <c r="M25" s="67">
        <f t="shared" si="0"/>
        <v>2.5116000000000001</v>
      </c>
      <c r="N25" s="11">
        <v>4.631313131313132E-2</v>
      </c>
      <c r="O25" s="113">
        <f t="shared" si="1"/>
        <v>5.3260101010101014E-2</v>
      </c>
      <c r="P25" s="67">
        <f t="shared" si="10"/>
        <v>1.0652020202020203</v>
      </c>
      <c r="Q25" s="5">
        <f t="shared" si="2"/>
        <v>12.125498484848485</v>
      </c>
      <c r="R25" s="5">
        <f>Q25*B$12</f>
        <v>4.0014145000000001</v>
      </c>
      <c r="S25" s="5">
        <f t="shared" si="3"/>
        <v>8.124083984848486</v>
      </c>
      <c r="T25" s="4"/>
      <c r="U25" s="5">
        <f t="shared" si="4"/>
        <v>0</v>
      </c>
      <c r="V25" s="5">
        <f t="shared" ref="V25:V29" si="11">IF(V$15="Increase",IF(F25="y",0,IF($E25&gt;0,(O25*B$4*(1-B$7))*$E25*(1+V$16),0)),IF(F25="y",0,IF($E25&gt;0,(O25*B$4*(1-B$7))*$E25*(1-V$16),0)))</f>
        <v>0</v>
      </c>
      <c r="W25" s="5">
        <f t="shared" ref="W25:W29" si="12">IF(W$15="Increase",IF(F25="y",0,IF($E25&gt;0,(O25*B$6*(B$7))*$E25*(1+W$16),0)),IF(F25="y",0,IF($E25&gt;0,(O25*B$6*(B$7))*$E25*(1-W$16),0)))</f>
        <v>0</v>
      </c>
      <c r="X25" s="5">
        <f t="shared" si="7"/>
        <v>0</v>
      </c>
      <c r="Y25" s="5">
        <f t="shared" si="8"/>
        <v>0</v>
      </c>
      <c r="Z25" s="5">
        <f t="shared" si="9"/>
        <v>0</v>
      </c>
    </row>
    <row r="26" spans="1:26" x14ac:dyDescent="0.2">
      <c r="A26" s="4" t="s">
        <v>17</v>
      </c>
      <c r="B26" s="4"/>
      <c r="C26" s="4"/>
      <c r="D26" s="4"/>
      <c r="E26" s="97"/>
      <c r="F26" s="96"/>
      <c r="G26" s="29"/>
      <c r="H26" s="6"/>
      <c r="I26" s="6">
        <f>IF(G26&gt;0,G26,H26-(L26*B$2*1.05)+M26-N26*12.5+P26)</f>
        <v>1.7393090909090905</v>
      </c>
      <c r="J26" s="6"/>
      <c r="K26" s="6"/>
      <c r="L26" s="10">
        <v>0.36799999999999999</v>
      </c>
      <c r="M26" s="67">
        <f t="shared" si="0"/>
        <v>1.4811999999999999</v>
      </c>
      <c r="N26" s="11">
        <v>9.818181818181819E-2</v>
      </c>
      <c r="O26" s="113">
        <f t="shared" si="1"/>
        <v>0.1129090909090909</v>
      </c>
      <c r="P26" s="67">
        <f t="shared" si="10"/>
        <v>2.2581818181818178</v>
      </c>
      <c r="Q26" s="5">
        <f t="shared" si="2"/>
        <v>-2.0000727272727272</v>
      </c>
      <c r="R26" s="5">
        <f>Q26*B$12</f>
        <v>-0.66002400000000006</v>
      </c>
      <c r="S26" s="5">
        <f t="shared" si="3"/>
        <v>-1.3400487272727273</v>
      </c>
      <c r="T26" s="4"/>
      <c r="U26" s="5">
        <f t="shared" si="4"/>
        <v>0</v>
      </c>
      <c r="V26" s="5">
        <f t="shared" si="11"/>
        <v>0</v>
      </c>
      <c r="W26" s="5">
        <f t="shared" si="12"/>
        <v>0</v>
      </c>
      <c r="X26" s="5">
        <f t="shared" si="7"/>
        <v>0</v>
      </c>
      <c r="Y26" s="5">
        <f t="shared" si="8"/>
        <v>0</v>
      </c>
      <c r="Z26" s="5">
        <f t="shared" si="9"/>
        <v>0</v>
      </c>
    </row>
    <row r="27" spans="1:26" x14ac:dyDescent="0.2">
      <c r="A27" s="4" t="s">
        <v>18</v>
      </c>
      <c r="B27" s="74">
        <v>0.5</v>
      </c>
      <c r="C27" s="74">
        <v>0</v>
      </c>
      <c r="D27" s="90">
        <f>IF('Machinery(Soybeans)'!B33='Machinery(Soybeans)'!D56,'Machinery(Soybeans)'!D33,IF('Machinery(Soybeans)'!B34='Machinery(Soybeans)'!D60,'Machinery(Soybeans)'!D34,0))</f>
        <v>0</v>
      </c>
      <c r="E27" s="95">
        <f>IF('Machinery(Soybeans)'!C16='Machinery(Soybeans)'!B58,0,IF('Machinery(Soybeans)'!C17='Machinery(Soybeans)'!B63,D27,IF(OR('Machinery(Soybeans)'!B33='Machinery(Soybeans)'!D56,'Machinery(Soybeans)'!B34='Machinery(Soybeans)'!D60),B27,0)))</f>
        <v>0</v>
      </c>
      <c r="F27" s="96" t="str">
        <f>IF('Machinery(Soybeans)'!C17='Machinery(Soybeans)'!B64,'Machinery(Soybeans)'!B49,IF('Machinery(Soybeans)'!B33='Machinery(Soybeans)'!D56,'Machinery(Soybeans)'!E33,IF('Machinery(Soybeans)'!B34='Machinery(Soybeans)'!D60,'Machinery(Soybeans)'!E34,'Machinery(Soybeans)'!B49)))</f>
        <v>N</v>
      </c>
      <c r="G27" s="29"/>
      <c r="H27" s="6">
        <v>19.5</v>
      </c>
      <c r="I27" s="111">
        <f>H27+J27+K27</f>
        <v>24.188340909090911</v>
      </c>
      <c r="J27" s="111">
        <f>L27*(B$3-B$2)</f>
        <v>3.5017499999999995</v>
      </c>
      <c r="K27" s="111">
        <f>(B$4*(1-B$7)+B$6*(B$7) - B$14)*O27</f>
        <v>1.186590909090909</v>
      </c>
      <c r="L27" s="10">
        <v>2.3344999999999998</v>
      </c>
      <c r="M27" s="67">
        <f t="shared" si="0"/>
        <v>9.3963624999999986</v>
      </c>
      <c r="N27" s="11">
        <v>0.20636363636363636</v>
      </c>
      <c r="O27" s="113">
        <f t="shared" si="1"/>
        <v>0.23731818181818179</v>
      </c>
      <c r="P27" s="67">
        <f t="shared" si="10"/>
        <v>4.7463636363636361</v>
      </c>
      <c r="Q27" s="5">
        <f t="shared" si="2"/>
        <v>10.045614772727276</v>
      </c>
      <c r="R27" s="5">
        <f>Q27*B$12</f>
        <v>3.3150528750000015</v>
      </c>
      <c r="S27" s="5">
        <f t="shared" si="3"/>
        <v>6.7305618977272754</v>
      </c>
      <c r="T27" s="4"/>
      <c r="U27" s="5">
        <f t="shared" si="4"/>
        <v>0</v>
      </c>
      <c r="V27" s="5">
        <f t="shared" si="11"/>
        <v>0</v>
      </c>
      <c r="W27" s="5">
        <f t="shared" si="12"/>
        <v>0</v>
      </c>
      <c r="X27" s="5">
        <f t="shared" si="7"/>
        <v>0</v>
      </c>
      <c r="Y27" s="5">
        <f t="shared" si="8"/>
        <v>0</v>
      </c>
      <c r="Z27" s="5">
        <f t="shared" si="9"/>
        <v>0</v>
      </c>
    </row>
    <row r="28" spans="1:26" x14ac:dyDescent="0.2">
      <c r="A28" s="4" t="s">
        <v>19</v>
      </c>
      <c r="B28" s="4"/>
      <c r="C28" s="4"/>
      <c r="D28" s="4"/>
      <c r="E28" s="97"/>
      <c r="F28" s="96"/>
      <c r="G28" s="29"/>
      <c r="H28" s="6"/>
      <c r="I28" s="6">
        <f>IF(G28&gt;0,G28,H28-(L28*B$2*1.05)+M28-N28*12.5+P28)</f>
        <v>5.1225297348484835</v>
      </c>
      <c r="J28" s="6"/>
      <c r="K28" s="6"/>
      <c r="L28" s="10">
        <v>1.9442499999999998</v>
      </c>
      <c r="M28" s="67">
        <f t="shared" si="0"/>
        <v>7.8256062499999981</v>
      </c>
      <c r="N28" s="11">
        <v>0.13141414141414143</v>
      </c>
      <c r="O28" s="113">
        <f t="shared" si="1"/>
        <v>0.15112626262626264</v>
      </c>
      <c r="P28" s="67">
        <f t="shared" si="10"/>
        <v>3.0225252525252526</v>
      </c>
      <c r="Q28" s="5">
        <f t="shared" si="2"/>
        <v>-5.7256017676767677</v>
      </c>
      <c r="R28" s="5">
        <f>Q28*B$12</f>
        <v>-1.8894485833333334</v>
      </c>
      <c r="S28" s="5">
        <f t="shared" si="3"/>
        <v>-3.8361531843434342</v>
      </c>
      <c r="T28" s="4"/>
      <c r="U28" s="5">
        <f t="shared" si="4"/>
        <v>0</v>
      </c>
      <c r="V28" s="5">
        <f t="shared" si="11"/>
        <v>0</v>
      </c>
      <c r="W28" s="5">
        <f t="shared" si="12"/>
        <v>0</v>
      </c>
      <c r="X28" s="5">
        <f t="shared" si="7"/>
        <v>0</v>
      </c>
      <c r="Y28" s="5">
        <f t="shared" si="8"/>
        <v>0</v>
      </c>
      <c r="Z28" s="5">
        <f t="shared" si="9"/>
        <v>0</v>
      </c>
    </row>
    <row r="29" spans="1:26" x14ac:dyDescent="0.2">
      <c r="A29" s="4" t="s">
        <v>20</v>
      </c>
      <c r="B29" s="74">
        <v>0.5</v>
      </c>
      <c r="C29" s="74">
        <v>0.5</v>
      </c>
      <c r="D29" s="90">
        <f>IF('Machinery(Soybeans)'!C17='Machinery(Soybeans)'!B63,'Machinery(Soybeans)'!D32,0)</f>
        <v>0</v>
      </c>
      <c r="E29" s="95">
        <f>IF('Machinery(Soybeans)'!B32='Machinery(Soybeans)'!D51,0,IF('Machinery(Soybeans)'!C17='Machinery(Soybeans)'!B63,D29,IF('Machinery(Soybeans)'!B32='Machinery(Soybeans)'!D52,IF('Machinery(Soybeans)'!C16='Machinery(Soybeans)'!B59,B29,C29))))</f>
        <v>0</v>
      </c>
      <c r="F29" s="96" t="str">
        <f>IF('Machinery(Soybeans)'!C17='Machinery(Soybeans)'!B64,'Machinery(Soybeans)'!B49,IF('Machinery(Soybeans)'!B32='Machinery(Soybeans)'!D52,'Machinery(Soybeans)'!E32,'Machinery(Soybeans)'!B49))</f>
        <v>N</v>
      </c>
      <c r="G29" s="29"/>
      <c r="H29" s="6">
        <v>13</v>
      </c>
      <c r="I29" s="111">
        <f>H29+J29+K29</f>
        <v>15.091954545454545</v>
      </c>
      <c r="J29" s="111">
        <f>L29*(B$3-B$2)</f>
        <v>1.2765</v>
      </c>
      <c r="K29" s="111">
        <f>(B$4*(1-B$7)+B$6*(B$7) - B$14)*O29</f>
        <v>0.81545454545454532</v>
      </c>
      <c r="L29" s="10">
        <v>0.85099999999999998</v>
      </c>
      <c r="M29" s="67">
        <f t="shared" si="0"/>
        <v>3.4252749999999996</v>
      </c>
      <c r="N29" s="11">
        <v>0.14181818181818182</v>
      </c>
      <c r="O29" s="113">
        <f t="shared" si="1"/>
        <v>0.16309090909090906</v>
      </c>
      <c r="P29" s="67">
        <f t="shared" si="10"/>
        <v>3.2618181818181813</v>
      </c>
      <c r="Q29" s="5">
        <f t="shared" si="2"/>
        <v>8.404861363636364</v>
      </c>
      <c r="R29" s="5">
        <f>Q29*B$12</f>
        <v>2.7736042500000004</v>
      </c>
      <c r="S29" s="5">
        <f t="shared" si="3"/>
        <v>5.6312571136363641</v>
      </c>
      <c r="T29" s="4"/>
      <c r="U29" s="5">
        <f t="shared" si="4"/>
        <v>0</v>
      </c>
      <c r="V29" s="5">
        <f t="shared" si="11"/>
        <v>0</v>
      </c>
      <c r="W29" s="5">
        <f t="shared" si="12"/>
        <v>0</v>
      </c>
      <c r="X29" s="5">
        <f t="shared" si="7"/>
        <v>0</v>
      </c>
      <c r="Y29" s="5">
        <f t="shared" si="8"/>
        <v>0</v>
      </c>
      <c r="Z29" s="5">
        <f t="shared" si="9"/>
        <v>0</v>
      </c>
    </row>
    <row r="30" spans="1:26" x14ac:dyDescent="0.2">
      <c r="A30" s="4"/>
      <c r="B30" s="4"/>
      <c r="C30" s="4"/>
      <c r="D30" s="4"/>
      <c r="E30" s="97"/>
      <c r="F30" s="96"/>
      <c r="G30" s="29"/>
      <c r="H30" s="6"/>
      <c r="I30" s="6"/>
      <c r="J30" s="6"/>
      <c r="K30" s="6"/>
      <c r="L30" s="4"/>
      <c r="M30" s="4"/>
      <c r="N30" s="4"/>
      <c r="O30" s="4"/>
      <c r="P30" s="4"/>
      <c r="Q30" s="4"/>
      <c r="R30" s="4"/>
      <c r="S30" s="4"/>
      <c r="T30" s="4"/>
      <c r="U30" s="4"/>
      <c r="V30" s="4"/>
      <c r="W30" s="4"/>
      <c r="X30" s="4"/>
      <c r="Y30" s="4"/>
      <c r="Z30" s="4"/>
    </row>
    <row r="31" spans="1:26" x14ac:dyDescent="0.2">
      <c r="A31" s="9" t="s">
        <v>21</v>
      </c>
      <c r="B31" s="9"/>
      <c r="C31" s="9"/>
      <c r="D31" s="9"/>
      <c r="E31" s="97"/>
      <c r="F31" s="96"/>
      <c r="G31" s="29"/>
      <c r="H31" s="6"/>
      <c r="I31" s="6"/>
      <c r="J31" s="6"/>
      <c r="K31" s="6"/>
      <c r="L31" s="4"/>
      <c r="M31" s="4"/>
      <c r="N31" s="4"/>
      <c r="O31" s="4"/>
      <c r="P31" s="4"/>
      <c r="Q31" s="4"/>
      <c r="R31" s="4"/>
      <c r="S31" s="4"/>
      <c r="T31" s="4"/>
      <c r="U31" s="4"/>
      <c r="V31" s="4"/>
      <c r="W31" s="4"/>
      <c r="X31" s="4"/>
      <c r="Y31" s="4"/>
      <c r="Z31" s="4"/>
    </row>
    <row r="32" spans="1:26" x14ac:dyDescent="0.2">
      <c r="A32" s="4" t="s">
        <v>22</v>
      </c>
      <c r="B32" s="4"/>
      <c r="C32" s="4"/>
      <c r="D32" s="4"/>
      <c r="E32" s="97"/>
      <c r="F32" s="96"/>
      <c r="G32" s="29"/>
      <c r="H32" s="6"/>
      <c r="I32" s="6">
        <f>IF(G32&gt;0,G32,H32-(L32*B$2*1.05)+M32-N32*12.5+P32)</f>
        <v>1.7496013888888886</v>
      </c>
      <c r="J32" s="6"/>
      <c r="K32" s="6"/>
      <c r="L32" s="10">
        <v>0.47050000000000003</v>
      </c>
      <c r="M32" s="67">
        <f t="shared" ref="M32:M37" si="13">L32*B$3*(1+B$13)</f>
        <v>1.8937625</v>
      </c>
      <c r="N32" s="11">
        <v>8.037037037037037E-2</v>
      </c>
      <c r="O32" s="113">
        <f t="shared" ref="O32" si="14">N32*(1+B$16)</f>
        <v>9.2425925925925911E-2</v>
      </c>
      <c r="P32" s="67">
        <f t="shared" ref="P32" si="15">O32*B$4*(1-B$7)+O32*B$6*(B$7)</f>
        <v>1.8485185185185182</v>
      </c>
      <c r="Q32" s="5">
        <f t="shared" ref="Q32:Q37" si="16">I32-M32-P32</f>
        <v>-1.9926796296296296</v>
      </c>
      <c r="R32" s="5">
        <f>Q32*B$12</f>
        <v>-0.65758427777777784</v>
      </c>
      <c r="S32" s="5">
        <f t="shared" ref="S32:S37" si="17">Q32-R32</f>
        <v>-1.3350953518518518</v>
      </c>
      <c r="T32" s="4"/>
      <c r="U32" s="5">
        <f t="shared" ref="U32:U37" si="18">IF(U$15="Increase",IF(F32="y",0,IF($E32&gt;0,M32*$E32*(1+U$16),0)),IF(F32="y",0,IF($E32&gt;0,M32*$E32*(1-U$16),0)))</f>
        <v>0</v>
      </c>
      <c r="V32" s="5">
        <f t="shared" ref="V32" si="19">IF(V$15="Increase",IF(F32="y",0,IF($E32&gt;0,(O32*B$4*(1-B$7))*$E32*(1+V$16),0)),IF(F32="y",0,IF($E32&gt;0,(O32*B$4*(1-B$7))*$E32*(1-V$16),0)))</f>
        <v>0</v>
      </c>
      <c r="W32" s="5">
        <f t="shared" ref="W32" si="20">IF(W$15="Increase",IF(F32="y",0,IF($E32&gt;0,(O32*B$6*(B$7))*$E32*(1+W$16),0)),IF(F32="y",0,IF($E32&gt;0,(O32*B$6*(B$7))*$E32*(1-W$16),0)))</f>
        <v>0</v>
      </c>
      <c r="X32" s="5">
        <f t="shared" ref="X32:X37" si="21">IF(X$15="Increase",IF(F32="y",0,IF($E32&gt;0,R32*$E32*(1+X$16),0)),IF(F32="y",0,IF($E32&gt;0,R32*$E32*(1-X$16),0)))</f>
        <v>0</v>
      </c>
      <c r="Y32" s="5">
        <f t="shared" ref="Y32:Y37" si="22">IF(Y$15="Increase",IF(F32="y",0,IF($E32&gt;0,S32*$E32*(1+Y$16),0)),IF(F32="y",0,IF($E32&gt;0,S32*$E32*(1-Y$16),0)))</f>
        <v>0</v>
      </c>
      <c r="Z32" s="5">
        <f t="shared" ref="Z32:Z37" si="23">IF(Z$15="Increase",IF(F32="y",I32*E32*(1+Z$16),0),IF(F32="y",I32*E32*(1-Z$16),0))</f>
        <v>0</v>
      </c>
    </row>
    <row r="33" spans="1:26" x14ac:dyDescent="0.2">
      <c r="A33" s="4"/>
      <c r="B33" s="4"/>
      <c r="C33" s="4"/>
      <c r="D33" s="4"/>
      <c r="E33" s="97"/>
      <c r="F33" s="96"/>
      <c r="G33" s="29"/>
      <c r="H33" s="6"/>
      <c r="I33" s="6"/>
      <c r="J33" s="6"/>
      <c r="K33" s="6"/>
      <c r="L33" s="10"/>
      <c r="M33" s="5"/>
      <c r="N33" s="11"/>
      <c r="O33" s="11"/>
      <c r="P33" s="5"/>
      <c r="Q33" s="5"/>
      <c r="R33" s="5"/>
      <c r="S33" s="5"/>
      <c r="T33" s="4"/>
      <c r="U33" s="5"/>
      <c r="V33" s="5"/>
      <c r="W33" s="5"/>
      <c r="X33" s="5"/>
      <c r="Y33" s="5"/>
      <c r="Z33" s="5"/>
    </row>
    <row r="34" spans="1:26" x14ac:dyDescent="0.2">
      <c r="A34" s="4" t="s">
        <v>24</v>
      </c>
      <c r="B34" s="74">
        <v>1</v>
      </c>
      <c r="C34" s="74">
        <v>0</v>
      </c>
      <c r="D34" s="90">
        <f>IF('Machinery(Soybeans)'!C16='Machinery(Soybeans)'!B58,0,'Machinery(Soybeans)'!D22)</f>
        <v>0</v>
      </c>
      <c r="E34" s="95">
        <f>IF('Machinery(Soybeans)'!$C$17='Machinery(Soybeans)'!$B$63,D34,IF('Machinery(Soybeans)'!$C$16='Machinery(Soybeans)'!$B$59,B34,C34))</f>
        <v>0</v>
      </c>
      <c r="F34" s="96" t="str">
        <f>IF('Machinery(Soybeans)'!C17='Machinery(Soybeans)'!B64,'Machinery(Soybeans)'!B49,'Machinery(Soybeans)'!E22)</f>
        <v>N</v>
      </c>
      <c r="G34" s="29"/>
      <c r="H34" s="6">
        <v>19</v>
      </c>
      <c r="I34" s="111">
        <f>H34+J34+K34</f>
        <v>20.314268518518521</v>
      </c>
      <c r="J34" s="111">
        <f>L34*(B$3-B$2)</f>
        <v>0.78825000000000012</v>
      </c>
      <c r="K34" s="111">
        <f>(B$4*(1-B$7)+B$6*(B$7) - B$14)*O34</f>
        <v>0.52601851851851844</v>
      </c>
      <c r="L34" s="10">
        <v>0.52550000000000008</v>
      </c>
      <c r="M34" s="67">
        <f t="shared" si="13"/>
        <v>2.1151375000000003</v>
      </c>
      <c r="N34" s="11">
        <v>9.1481481481481469E-2</v>
      </c>
      <c r="O34" s="113">
        <f t="shared" ref="O34:O37" si="24">N34*(1+B$16)</f>
        <v>0.10520370370370369</v>
      </c>
      <c r="P34" s="67">
        <f t="shared" ref="P34:P37" si="25">O34*B$4*(1-B$7)+O34*B$6*(B$7)</f>
        <v>2.1040740740740738</v>
      </c>
      <c r="Q34" s="5">
        <f t="shared" si="16"/>
        <v>16.095056944444448</v>
      </c>
      <c r="R34" s="5">
        <f t="shared" ref="R34:R37" si="26">Q34*B$12</f>
        <v>5.3113687916666681</v>
      </c>
      <c r="S34" s="5">
        <f t="shared" si="17"/>
        <v>10.783688152777779</v>
      </c>
      <c r="T34" s="4"/>
      <c r="U34" s="5">
        <f t="shared" si="18"/>
        <v>0</v>
      </c>
      <c r="V34" s="5">
        <f t="shared" ref="V34:V37" si="27">IF(V$15="Increase",IF(F34="y",0,IF($E34&gt;0,(O34*B$4*(1-B$7))*$E34*(1+V$16),0)),IF(F34="y",0,IF($E34&gt;0,(O34*B$4*(1-B$7))*$E34*(1-V$16),0)))</f>
        <v>0</v>
      </c>
      <c r="W34" s="5">
        <f t="shared" ref="W34:W37" si="28">IF(W$15="Increase",IF(F34="y",0,IF($E34&gt;0,(O34*B$6*(B$7))*$E34*(1+W$16),0)),IF(F34="y",0,IF($E34&gt;0,(O34*B$6*(B$7))*$E34*(1-W$16),0)))</f>
        <v>0</v>
      </c>
      <c r="X34" s="5">
        <f t="shared" si="21"/>
        <v>0</v>
      </c>
      <c r="Y34" s="5">
        <f t="shared" si="22"/>
        <v>0</v>
      </c>
      <c r="Z34" s="5">
        <f t="shared" si="23"/>
        <v>0</v>
      </c>
    </row>
    <row r="35" spans="1:26" x14ac:dyDescent="0.2">
      <c r="A35" s="4" t="s">
        <v>25</v>
      </c>
      <c r="B35" s="4"/>
      <c r="C35" s="4"/>
      <c r="D35" s="4"/>
      <c r="E35" s="97"/>
      <c r="F35" s="96"/>
      <c r="G35" s="29"/>
      <c r="H35" s="6"/>
      <c r="I35" s="6">
        <f t="shared" ref="I35" si="29">IF(G35&gt;0,G35,H35-(L35*B$2*1.05)+M35-N35*12.5+P35)</f>
        <v>1.9721430555555555</v>
      </c>
      <c r="J35" s="6"/>
      <c r="K35" s="6"/>
      <c r="L35" s="10">
        <v>0.52550000000000008</v>
      </c>
      <c r="M35" s="67">
        <f t="shared" si="13"/>
        <v>2.1151375000000003</v>
      </c>
      <c r="N35" s="11">
        <v>9.1481481481481469E-2</v>
      </c>
      <c r="O35" s="113">
        <f t="shared" si="24"/>
        <v>0.10520370370370369</v>
      </c>
      <c r="P35" s="67">
        <f t="shared" si="25"/>
        <v>2.1040740740740738</v>
      </c>
      <c r="Q35" s="5">
        <f t="shared" si="16"/>
        <v>-2.2470685185185184</v>
      </c>
      <c r="R35" s="5">
        <f t="shared" si="26"/>
        <v>-0.74153261111111113</v>
      </c>
      <c r="S35" s="5">
        <f t="shared" si="17"/>
        <v>-1.5055359074074073</v>
      </c>
      <c r="T35" s="4"/>
      <c r="U35" s="5">
        <f t="shared" si="18"/>
        <v>0</v>
      </c>
      <c r="V35" s="5">
        <f t="shared" si="27"/>
        <v>0</v>
      </c>
      <c r="W35" s="5">
        <f t="shared" si="28"/>
        <v>0</v>
      </c>
      <c r="X35" s="5">
        <f t="shared" si="21"/>
        <v>0</v>
      </c>
      <c r="Y35" s="5">
        <f t="shared" si="22"/>
        <v>0</v>
      </c>
      <c r="Z35" s="5">
        <f t="shared" si="23"/>
        <v>0</v>
      </c>
    </row>
    <row r="36" spans="1:26" x14ac:dyDescent="0.2">
      <c r="A36" s="19" t="s">
        <v>353</v>
      </c>
      <c r="B36" s="74">
        <v>0.5</v>
      </c>
      <c r="C36" s="74">
        <v>0</v>
      </c>
      <c r="D36" s="90" t="b">
        <f>IF('Machinery(Soybeans)'!C16='Machinery(Soybeans)'!B59,IF('Machinery(Soybeans)'!B31='Machinery(Soybeans)'!D50,'Machinery(Soybeans)'!D31,0))</f>
        <v>0</v>
      </c>
      <c r="E36" s="95" t="b">
        <f>IF('Machinery(Soybeans)'!C17='Machinery(Soybeans)'!B63,D36,IF('Machinery(Soybeans)'!C16='Machinery(Soybeans)'!B59,IF('Machinery(Soybeans)'!B31='Machinery(Soybeans)'!D50,B36,C36)))</f>
        <v>0</v>
      </c>
      <c r="F36" s="96" t="str">
        <f>IF('Machinery(Soybeans)'!C17='Machinery(Soybeans)'!B64,'Machinery(Soybeans)'!B49,IF('Machinery(Soybeans)'!C16='Machinery(Soybeans)'!B59,IF('Machinery(Soybeans)'!B31='Machinery(Soybeans)'!D50,'Machinery(Soybeans)'!E31,'Machinery(Soybeans)'!B49)))</f>
        <v>N</v>
      </c>
      <c r="G36" s="29"/>
      <c r="H36" s="6">
        <v>12.5</v>
      </c>
      <c r="I36" s="111">
        <f>H36+J36+K36</f>
        <v>13.873250000000001</v>
      </c>
      <c r="J36" s="111">
        <f>L36*(B$3-B$2)</f>
        <v>0.80400000000000005</v>
      </c>
      <c r="K36" s="111">
        <f>(B$4*(1-B$7)+B$6*(B$7) - B$14)*O36</f>
        <v>0.56924999999999992</v>
      </c>
      <c r="L36" s="10">
        <v>0.53600000000000003</v>
      </c>
      <c r="M36" s="67">
        <f t="shared" si="13"/>
        <v>2.1574</v>
      </c>
      <c r="N36" s="11">
        <v>9.9000000000000005E-2</v>
      </c>
      <c r="O36" s="113">
        <f t="shared" si="24"/>
        <v>0.11384999999999999</v>
      </c>
      <c r="P36" s="67">
        <f t="shared" si="25"/>
        <v>2.2769999999999997</v>
      </c>
      <c r="Q36" s="5">
        <f t="shared" si="16"/>
        <v>9.4388500000000004</v>
      </c>
      <c r="R36" s="5">
        <f t="shared" si="26"/>
        <v>3.1148205000000004</v>
      </c>
      <c r="S36" s="5">
        <f t="shared" si="17"/>
        <v>6.3240295</v>
      </c>
      <c r="T36" s="4"/>
      <c r="U36" s="5">
        <f t="shared" si="18"/>
        <v>0</v>
      </c>
      <c r="V36" s="5">
        <f t="shared" si="27"/>
        <v>0</v>
      </c>
      <c r="W36" s="5">
        <f t="shared" si="28"/>
        <v>0</v>
      </c>
      <c r="X36" s="5">
        <f t="shared" si="21"/>
        <v>0</v>
      </c>
      <c r="Y36" s="5">
        <f t="shared" si="22"/>
        <v>0</v>
      </c>
      <c r="Z36" s="5">
        <f t="shared" si="23"/>
        <v>0</v>
      </c>
    </row>
    <row r="37" spans="1:26" x14ac:dyDescent="0.2">
      <c r="A37" s="4" t="s">
        <v>26</v>
      </c>
      <c r="B37" s="74">
        <v>0.5</v>
      </c>
      <c r="C37" s="74">
        <v>0</v>
      </c>
      <c r="D37" s="90" t="b">
        <f>IF('Machinery(Soybeans)'!C16='Machinery(Soybeans)'!B59,IF('Machinery(Soybeans)'!B31='Machinery(Soybeans)'!D49,'Machinery(Soybeans)'!D31,0))</f>
        <v>0</v>
      </c>
      <c r="E37" s="95" t="b">
        <f>IF('Machinery(Soybeans)'!C17='Machinery(Soybeans)'!B63,D37,IF('Machinery(Soybeans)'!C16='Machinery(Soybeans)'!B59,IF('Machinery(Soybeans)'!B31='Machinery(Soybeans)'!D49,B37,C37)))</f>
        <v>0</v>
      </c>
      <c r="F37" s="96" t="str">
        <f>IF('Machinery(Soybeans)'!C17='Machinery(Soybeans)'!B64,'Machinery(Soybeans)'!B49,IF('Machinery(Soybeans)'!C16='Machinery(Soybeans)'!B59,IF('Machinery(Soybeans)'!B31='Machinery(Soybeans)'!D49,'Machinery(Soybeans)'!E31,'Machinery(Soybeans)'!B49)))</f>
        <v>N</v>
      </c>
      <c r="G37" s="29"/>
      <c r="H37" s="6">
        <v>18</v>
      </c>
      <c r="I37" s="111">
        <f>H37+J37+K37</f>
        <v>19.925981481481482</v>
      </c>
      <c r="J37" s="111">
        <f>L37*(B$3-B$2)</f>
        <v>1.1294999999999999</v>
      </c>
      <c r="K37" s="111">
        <f>(B$4*(1-B$7)+B$6*(B$7) - B$14)*O37</f>
        <v>0.79648148148148135</v>
      </c>
      <c r="L37" s="10">
        <v>0.753</v>
      </c>
      <c r="M37" s="67">
        <f t="shared" si="13"/>
        <v>3.0308249999999997</v>
      </c>
      <c r="N37" s="11">
        <v>0.13851851851851851</v>
      </c>
      <c r="O37" s="113">
        <f t="shared" si="24"/>
        <v>0.15929629629629627</v>
      </c>
      <c r="P37" s="67">
        <f t="shared" si="25"/>
        <v>3.1859259259259254</v>
      </c>
      <c r="Q37" s="5">
        <f t="shared" si="16"/>
        <v>13.709230555555557</v>
      </c>
      <c r="R37" s="5">
        <f t="shared" si="26"/>
        <v>4.5240460833333342</v>
      </c>
      <c r="S37" s="5">
        <f t="shared" si="17"/>
        <v>9.1851844722222218</v>
      </c>
      <c r="T37" s="4"/>
      <c r="U37" s="5">
        <f t="shared" si="18"/>
        <v>0</v>
      </c>
      <c r="V37" s="5">
        <f t="shared" si="27"/>
        <v>0</v>
      </c>
      <c r="W37" s="5">
        <f t="shared" si="28"/>
        <v>0</v>
      </c>
      <c r="X37" s="5">
        <f t="shared" si="21"/>
        <v>0</v>
      </c>
      <c r="Y37" s="5">
        <f t="shared" si="22"/>
        <v>0</v>
      </c>
      <c r="Z37" s="5">
        <f t="shared" si="23"/>
        <v>0</v>
      </c>
    </row>
    <row r="38" spans="1:26" x14ac:dyDescent="0.2">
      <c r="A38" s="4"/>
      <c r="B38" s="4"/>
      <c r="C38" s="4"/>
      <c r="D38" s="4"/>
      <c r="E38" s="97"/>
      <c r="F38" s="96"/>
      <c r="G38" s="29"/>
      <c r="H38" s="6"/>
      <c r="I38" s="6"/>
      <c r="J38" s="6"/>
      <c r="K38" s="6"/>
      <c r="L38" s="4"/>
      <c r="M38" s="4"/>
      <c r="N38" s="4"/>
      <c r="O38" s="4"/>
      <c r="P38" s="4"/>
      <c r="Q38" s="4"/>
      <c r="R38" s="4"/>
      <c r="S38" s="4"/>
      <c r="T38" s="4"/>
      <c r="U38" s="4"/>
      <c r="V38" s="4"/>
      <c r="W38" s="4"/>
      <c r="X38" s="4"/>
      <c r="Y38" s="4"/>
      <c r="Z38" s="4"/>
    </row>
    <row r="39" spans="1:26" x14ac:dyDescent="0.2">
      <c r="A39" s="9" t="s">
        <v>27</v>
      </c>
      <c r="B39" s="9"/>
      <c r="C39" s="9"/>
      <c r="D39" s="9"/>
      <c r="E39" s="97"/>
      <c r="F39" s="96"/>
      <c r="G39" s="29"/>
      <c r="H39" s="6"/>
      <c r="I39" s="6"/>
      <c r="J39" s="6"/>
      <c r="K39" s="6"/>
      <c r="L39" s="4"/>
      <c r="M39" s="4"/>
      <c r="N39" s="4"/>
      <c r="O39" s="4"/>
      <c r="P39" s="4"/>
      <c r="Q39" s="4"/>
      <c r="R39" s="4"/>
      <c r="S39" s="4"/>
      <c r="T39" s="4"/>
      <c r="U39" s="4"/>
      <c r="V39" s="4"/>
      <c r="W39" s="4"/>
      <c r="X39" s="4"/>
      <c r="Y39" s="4"/>
      <c r="Z39" s="4"/>
    </row>
    <row r="40" spans="1:26" x14ac:dyDescent="0.2">
      <c r="A40" s="4" t="s">
        <v>28</v>
      </c>
      <c r="B40" s="4"/>
      <c r="C40" s="4"/>
      <c r="D40" s="4"/>
      <c r="E40" s="97"/>
      <c r="F40" s="96"/>
      <c r="G40" s="29"/>
      <c r="H40" s="6"/>
      <c r="I40" s="6">
        <f t="shared" ref="I40:I42" si="30">IF(G40&gt;0,G40,H40-(L40*B$2*1.05)+M40-N40*12.5+P40)</f>
        <v>2.6090409722222216</v>
      </c>
      <c r="J40" s="6"/>
      <c r="K40" s="6"/>
      <c r="L40" s="10">
        <v>0.79574999999999996</v>
      </c>
      <c r="M40" s="67">
        <f t="shared" ref="M40:M44" si="31">L40*B$3*(1+B$13)</f>
        <v>3.2028937499999994</v>
      </c>
      <c r="N40" s="11">
        <v>0.1025925925925926</v>
      </c>
      <c r="O40" s="113">
        <f t="shared" ref="O40:O44" si="32">N40*(1+B$16)</f>
        <v>0.11798148148148148</v>
      </c>
      <c r="P40" s="67">
        <f t="shared" ref="P40:P44" si="33">O40*B$4*(1-B$7)+O40*B$6*(B$7)</f>
        <v>2.3596296296296297</v>
      </c>
      <c r="Q40" s="5">
        <f t="shared" ref="Q40:Q44" si="34">I40-M40-P40</f>
        <v>-2.9534824074074075</v>
      </c>
      <c r="R40" s="5">
        <f t="shared" ref="R40:R44" si="35">Q40*B$12</f>
        <v>-0.97464919444444453</v>
      </c>
      <c r="S40" s="5">
        <f t="shared" ref="S40:S44" si="36">Q40-R40</f>
        <v>-1.9788332129629631</v>
      </c>
      <c r="T40" s="4"/>
      <c r="U40" s="5">
        <f t="shared" ref="U40:U44" si="37">IF(U$15="Increase",IF(F40="y",0,IF($E40&gt;0,M40*$E40*(1+U$16),0)),IF(F40="y",0,IF($E40&gt;0,M40*$E40*(1-U$16),0)))</f>
        <v>0</v>
      </c>
      <c r="V40" s="5">
        <f t="shared" ref="V40" si="38">IF(V$15="Increase",IF(F40="y",0,IF($E40&gt;0,(O40*B$4*(1-B$7))*$E40*(1+V$16),0)),IF(F40="y",0,IF($E40&gt;0,(O40*B$4*(1-B$7))*$E40*(1-V$16),0)))</f>
        <v>0</v>
      </c>
      <c r="W40" s="5">
        <f t="shared" ref="W40" si="39">IF(W$15="Increase",IF(F40="y",0,IF($E40&gt;0,(O40*B$6*(B$7))*$E40*(1+W$16),0)),IF(F40="y",0,IF($E40&gt;0,(O40*B$6*(B$7))*$E40*(1-W$16),0)))</f>
        <v>0</v>
      </c>
      <c r="X40" s="5">
        <f t="shared" ref="X40:X44" si="40">IF(X$15="Increase",IF(F40="y",0,IF($E40&gt;0,R40*$E40*(1+X$16),0)),IF(F40="y",0,IF($E40&gt;0,R40*$E40*(1-X$16),0)))</f>
        <v>0</v>
      </c>
      <c r="Y40" s="5">
        <f t="shared" ref="Y40:Y44" si="41">IF(Y$15="Increase",IF(F40="y",0,IF($E40&gt;0,S40*$E40*(1+Y$16),0)),IF(F40="y",0,IF($E40&gt;0,S40*$E40*(1-Y$16),0)))</f>
        <v>0</v>
      </c>
      <c r="Z40" s="5">
        <f t="shared" ref="Z40:Z44" si="42">IF(Z$15="Increase",IF(F40="y",I40*E40*(1+Z$16),0),IF(F40="y",I40*E40*(1-Z$16),0))</f>
        <v>0</v>
      </c>
    </row>
    <row r="41" spans="1:26" x14ac:dyDescent="0.2">
      <c r="A41" s="4" t="s">
        <v>24</v>
      </c>
      <c r="B41" s="74">
        <v>0</v>
      </c>
      <c r="C41" s="74">
        <v>1</v>
      </c>
      <c r="D41" s="90">
        <f>IF('Machinery(Soybeans)'!C16='Machinery(Soybeans)'!B59,0,'Machinery(Soybeans)'!D22)</f>
        <v>1</v>
      </c>
      <c r="E41" s="95">
        <f>IF('Machinery(Soybeans)'!$C$17='Machinery(Soybeans)'!$B$63,D41,IF('Machinery(Soybeans)'!$C$16='Machinery(Soybeans)'!$B$59,B41,C41))</f>
        <v>1</v>
      </c>
      <c r="F41" s="96" t="str">
        <f>IF('Machinery(Soybeans)'!C17='Machinery(Soybeans)'!B64,'Machinery(Soybeans)'!B49,'Machinery(Soybeans)'!E22)</f>
        <v>N</v>
      </c>
      <c r="G41" s="29"/>
      <c r="H41" s="6">
        <v>19.5</v>
      </c>
      <c r="I41" s="111">
        <f>H41+J41+K41</f>
        <v>21.283532407407407</v>
      </c>
      <c r="J41" s="111">
        <f>L41*(B$3-B$2)</f>
        <v>1.1936249999999999</v>
      </c>
      <c r="K41" s="111">
        <f>(B$4*(1-B$7)+B$6*(B$7) - B$14)*O41</f>
        <v>0.58990740740740744</v>
      </c>
      <c r="L41" s="10">
        <v>0.79574999999999996</v>
      </c>
      <c r="M41" s="67">
        <f t="shared" si="31"/>
        <v>3.2028937499999994</v>
      </c>
      <c r="N41" s="11">
        <v>0.1025925925925926</v>
      </c>
      <c r="O41" s="113">
        <f t="shared" si="32"/>
        <v>0.11798148148148148</v>
      </c>
      <c r="P41" s="67">
        <f t="shared" si="33"/>
        <v>2.3596296296296297</v>
      </c>
      <c r="Q41" s="5">
        <f t="shared" si="34"/>
        <v>15.721009027777775</v>
      </c>
      <c r="R41" s="5">
        <f t="shared" si="35"/>
        <v>5.187932979166666</v>
      </c>
      <c r="S41" s="5">
        <f t="shared" si="36"/>
        <v>10.533076048611109</v>
      </c>
      <c r="T41" s="4"/>
      <c r="U41" s="5">
        <f t="shared" si="37"/>
        <v>3.2028937499999994</v>
      </c>
      <c r="V41" s="5">
        <f t="shared" ref="V41" si="43">IF(V$15="Increase",IF(F41="y",0,IF($E41&gt;0,(O41*B$4*(1-B$7))*$E41*(1+V$16),0)),IF(F41="y",0,IF($E41&gt;0,(O41*B$4*(1-B$7))*$E41*(1-V$16),0)))</f>
        <v>2.3596296296296297</v>
      </c>
      <c r="W41" s="5">
        <f t="shared" ref="W41" si="44">IF(W$15="Increase",IF(F41="y",0,IF($E41&gt;0,(O41*B$6*(B$7))*$E41*(1+W$16),0)),IF(F41="y",0,IF($E41&gt;0,(O41*B$6*(B$7))*$E41*(1-W$16),0)))</f>
        <v>0</v>
      </c>
      <c r="X41" s="5">
        <f t="shared" si="40"/>
        <v>5.187932979166666</v>
      </c>
      <c r="Y41" s="5">
        <f t="shared" si="41"/>
        <v>10.533076048611109</v>
      </c>
      <c r="Z41" s="5">
        <f t="shared" si="42"/>
        <v>0</v>
      </c>
    </row>
    <row r="42" spans="1:26" x14ac:dyDescent="0.2">
      <c r="A42" s="4" t="s">
        <v>25</v>
      </c>
      <c r="B42" s="4"/>
      <c r="C42" s="4"/>
      <c r="D42" s="4"/>
      <c r="E42" s="97"/>
      <c r="F42" s="96"/>
      <c r="G42" s="29"/>
      <c r="H42" s="6"/>
      <c r="I42" s="6">
        <f t="shared" si="30"/>
        <v>2.6090409722222216</v>
      </c>
      <c r="J42" s="6"/>
      <c r="K42" s="6"/>
      <c r="L42" s="10">
        <v>0.79574999999999996</v>
      </c>
      <c r="M42" s="67">
        <f t="shared" si="31"/>
        <v>3.2028937499999994</v>
      </c>
      <c r="N42" s="11">
        <v>0.1025925925925926</v>
      </c>
      <c r="O42" s="113">
        <f t="shared" si="32"/>
        <v>0.11798148148148148</v>
      </c>
      <c r="P42" s="67">
        <f t="shared" si="33"/>
        <v>2.3596296296296297</v>
      </c>
      <c r="Q42" s="5">
        <f t="shared" si="34"/>
        <v>-2.9534824074074075</v>
      </c>
      <c r="R42" s="5">
        <f t="shared" si="35"/>
        <v>-0.97464919444444453</v>
      </c>
      <c r="S42" s="5">
        <f t="shared" si="36"/>
        <v>-1.9788332129629631</v>
      </c>
      <c r="T42" s="4"/>
      <c r="U42" s="5">
        <f t="shared" si="37"/>
        <v>0</v>
      </c>
      <c r="V42" s="5">
        <f t="shared" ref="V42:V44" si="45">IF(V$15="Increase",IF(F42="y",0,IF($E42&gt;0,(O42*B$4*(1-B$7))*$E42*(1+V$16),0)),IF(F42="y",0,IF($E42&gt;0,(O42*B$4*(1-B$7))*$E42*(1-V$16),0)))</f>
        <v>0</v>
      </c>
      <c r="W42" s="5">
        <f t="shared" ref="W42:W44" si="46">IF(W$15="Increase",IF(F42="y",0,IF($E42&gt;0,(O42*B$6*(B$7))*$E42*(1+W$16),0)),IF(F42="y",0,IF($E42&gt;0,(O42*B$6*(B$7))*$E42*(1-W$16),0)))</f>
        <v>0</v>
      </c>
      <c r="X42" s="5">
        <f t="shared" si="40"/>
        <v>0</v>
      </c>
      <c r="Y42" s="5">
        <f t="shared" si="41"/>
        <v>0</v>
      </c>
      <c r="Z42" s="5">
        <f t="shared" si="42"/>
        <v>0</v>
      </c>
    </row>
    <row r="43" spans="1:26" x14ac:dyDescent="0.2">
      <c r="A43" s="19" t="s">
        <v>353</v>
      </c>
      <c r="B43" s="74">
        <v>0</v>
      </c>
      <c r="C43" s="74">
        <v>0.5</v>
      </c>
      <c r="D43" s="90">
        <f>IF('Machinery(Soybeans)'!C16='Machinery(Soybeans)'!B58,IF('Machinery(Soybeans)'!B31='Machinery(Soybeans)'!D50,'Machinery(Soybeans)'!D31,0))</f>
        <v>0</v>
      </c>
      <c r="E43" s="95">
        <f>IF('Machinery(Soybeans)'!C17='Machinery(Soybeans)'!B63,D43,IF('Machinery(Soybeans)'!C16='Machinery(Soybeans)'!B58,IF('Machinery(Soybeans)'!B31='Machinery(Soybeans)'!D50,C43,B43)))</f>
        <v>0</v>
      </c>
      <c r="F43" s="96" t="str">
        <f>IF('Machinery(Soybeans)'!C17='Machinery(Soybeans)'!B64,'Machinery(Soybeans)'!B49,IF('Machinery(Soybeans)'!C16='Machinery(Soybeans)'!B58,IF('Machinery(Soybeans)'!B31='Machinery(Soybeans)'!D50,'Machinery(Soybeans)'!E31,'Machinery(Soybeans)'!B49)))</f>
        <v>N</v>
      </c>
      <c r="G43" s="29"/>
      <c r="H43" s="6">
        <v>12.5</v>
      </c>
      <c r="I43" s="111">
        <f>H43+J43+K43</f>
        <v>13.873250000000001</v>
      </c>
      <c r="J43" s="111">
        <f>L43*(B$3-B$2)</f>
        <v>0.80400000000000005</v>
      </c>
      <c r="K43" s="111">
        <f>(B$4*(1-B$7)+B$6*(B$7) - B$14)*O43</f>
        <v>0.56924999999999992</v>
      </c>
      <c r="L43" s="10">
        <v>0.53600000000000003</v>
      </c>
      <c r="M43" s="67">
        <f t="shared" si="31"/>
        <v>2.1574</v>
      </c>
      <c r="N43" s="11">
        <v>9.9000000000000005E-2</v>
      </c>
      <c r="O43" s="113">
        <f t="shared" si="32"/>
        <v>0.11384999999999999</v>
      </c>
      <c r="P43" s="67">
        <f t="shared" si="33"/>
        <v>2.2769999999999997</v>
      </c>
      <c r="Q43" s="5">
        <f t="shared" si="34"/>
        <v>9.4388500000000004</v>
      </c>
      <c r="R43" s="5">
        <f t="shared" si="35"/>
        <v>3.1148205000000004</v>
      </c>
      <c r="S43" s="5">
        <f t="shared" si="36"/>
        <v>6.3240295</v>
      </c>
      <c r="T43" s="4"/>
      <c r="U43" s="5">
        <f t="shared" si="37"/>
        <v>0</v>
      </c>
      <c r="V43" s="5">
        <f t="shared" si="45"/>
        <v>0</v>
      </c>
      <c r="W43" s="5">
        <f t="shared" si="46"/>
        <v>0</v>
      </c>
      <c r="X43" s="5">
        <f t="shared" si="40"/>
        <v>0</v>
      </c>
      <c r="Y43" s="5">
        <f t="shared" si="41"/>
        <v>0</v>
      </c>
      <c r="Z43" s="5">
        <f t="shared" si="42"/>
        <v>0</v>
      </c>
    </row>
    <row r="44" spans="1:26" x14ac:dyDescent="0.2">
      <c r="A44" s="4" t="s">
        <v>26</v>
      </c>
      <c r="B44" s="74">
        <v>0</v>
      </c>
      <c r="C44" s="74">
        <v>0.5</v>
      </c>
      <c r="D44" s="90">
        <f>IF('Machinery(Soybeans)'!C16='Machinery(Soybeans)'!B58,IF('Machinery(Soybeans)'!B31='Machinery(Soybeans)'!D49,'Machinery(Soybeans)'!D31,0))</f>
        <v>0</v>
      </c>
      <c r="E44" s="95">
        <f>IF('Machinery(Soybeans)'!C17='Machinery(Soybeans)'!B63,D44,IF('Machinery(Soybeans)'!C16='Machinery(Soybeans)'!B58,IF('Machinery(Soybeans)'!B31='Machinery(Soybeans)'!D49,C44,B44)))</f>
        <v>0</v>
      </c>
      <c r="F44" s="96" t="str">
        <f>IF('Machinery(Soybeans)'!C17='Machinery(Soybeans)'!B64,'Machinery(Soybeans)'!B49,IF('Machinery(Soybeans)'!C16='Machinery(Soybeans)'!B58,IF('Machinery(Soybeans)'!B31='Machinery(Soybeans)'!D49,'Machinery(Soybeans)'!E31,'Machinery(Soybeans)'!B49)))</f>
        <v>N</v>
      </c>
      <c r="G44" s="29"/>
      <c r="H44" s="6">
        <v>19</v>
      </c>
      <c r="I44" s="111">
        <f>H44+J44+K44</f>
        <v>20.993810185185186</v>
      </c>
      <c r="J44" s="111">
        <f>L44*(B$3-B$2)</f>
        <v>1.276125</v>
      </c>
      <c r="K44" s="111">
        <f>(B$4*(1-B$7)+B$6*(B$7) - B$14)*O44</f>
        <v>0.7176851851851852</v>
      </c>
      <c r="L44" s="10">
        <v>0.85075000000000001</v>
      </c>
      <c r="M44" s="67">
        <f t="shared" si="31"/>
        <v>3.42426875</v>
      </c>
      <c r="N44" s="11">
        <v>0.12481481481481482</v>
      </c>
      <c r="O44" s="113">
        <f t="shared" si="32"/>
        <v>0.14353703703703705</v>
      </c>
      <c r="P44" s="67">
        <f t="shared" si="33"/>
        <v>2.8707407407407408</v>
      </c>
      <c r="Q44" s="5">
        <f t="shared" si="34"/>
        <v>14.698800694444445</v>
      </c>
      <c r="R44" s="5">
        <f t="shared" si="35"/>
        <v>4.8506042291666676</v>
      </c>
      <c r="S44" s="5">
        <f t="shared" si="36"/>
        <v>9.8481964652777769</v>
      </c>
      <c r="T44" s="4"/>
      <c r="U44" s="5">
        <f t="shared" si="37"/>
        <v>0</v>
      </c>
      <c r="V44" s="5">
        <f t="shared" si="45"/>
        <v>0</v>
      </c>
      <c r="W44" s="5">
        <f t="shared" si="46"/>
        <v>0</v>
      </c>
      <c r="X44" s="5">
        <f t="shared" si="40"/>
        <v>0</v>
      </c>
      <c r="Y44" s="5">
        <f t="shared" si="41"/>
        <v>0</v>
      </c>
      <c r="Z44" s="5">
        <f t="shared" si="42"/>
        <v>0</v>
      </c>
    </row>
    <row r="45" spans="1:26" x14ac:dyDescent="0.2">
      <c r="A45" s="4"/>
      <c r="B45" s="4"/>
      <c r="C45" s="4"/>
      <c r="D45" s="4"/>
      <c r="E45" s="25"/>
      <c r="F45" s="26"/>
      <c r="G45" s="29"/>
      <c r="H45" s="6"/>
      <c r="I45" s="6"/>
      <c r="J45" s="6"/>
      <c r="K45" s="6"/>
      <c r="L45" s="4"/>
      <c r="M45" s="4"/>
      <c r="N45" s="4"/>
      <c r="O45" s="4"/>
      <c r="P45" s="4"/>
      <c r="Q45" s="4"/>
      <c r="R45" s="4"/>
      <c r="S45" s="4"/>
      <c r="T45" s="4"/>
      <c r="U45" s="4"/>
      <c r="V45" s="4"/>
      <c r="W45" s="4"/>
      <c r="X45" s="4"/>
      <c r="Y45" s="4"/>
      <c r="Z45" s="4"/>
    </row>
    <row r="46" spans="1:26" x14ac:dyDescent="0.2">
      <c r="A46" s="9" t="s">
        <v>29</v>
      </c>
      <c r="B46" s="9"/>
      <c r="C46" s="9"/>
      <c r="D46" s="9"/>
      <c r="E46" s="25"/>
      <c r="F46" s="26"/>
      <c r="G46" s="29"/>
      <c r="H46" s="6"/>
      <c r="I46" s="6"/>
      <c r="J46" s="6"/>
      <c r="K46" s="6"/>
      <c r="L46" s="4"/>
      <c r="M46" s="4"/>
      <c r="N46" s="4"/>
      <c r="O46" s="4"/>
      <c r="P46" s="4"/>
      <c r="Q46" s="4"/>
      <c r="R46" s="4"/>
      <c r="S46" s="4"/>
      <c r="T46" s="4"/>
      <c r="U46" s="4"/>
      <c r="V46" s="4"/>
      <c r="W46" s="4"/>
      <c r="X46" s="4"/>
      <c r="Y46" s="4"/>
      <c r="Z46" s="4"/>
    </row>
    <row r="47" spans="1:26" x14ac:dyDescent="0.2">
      <c r="A47" s="4" t="s">
        <v>30</v>
      </c>
      <c r="B47" s="4"/>
      <c r="C47" s="4"/>
      <c r="D47" s="4"/>
      <c r="E47" s="25"/>
      <c r="F47" s="26"/>
      <c r="G47" s="29"/>
      <c r="H47" s="6"/>
      <c r="I47" s="6">
        <f>IF(G47&gt;0,G47,H47-(L47*B$2*1.05)+M47-N47*12.5+P47)</f>
        <v>6.3218798611111096</v>
      </c>
      <c r="J47" s="6"/>
      <c r="K47" s="6"/>
      <c r="L47" s="10">
        <v>2.2497499999999997</v>
      </c>
      <c r="M47" s="67">
        <f t="shared" ref="M47" si="47">L47*B$3*(1+B$13)</f>
        <v>9.0552437499999989</v>
      </c>
      <c r="N47" s="11">
        <v>0.18962962962962962</v>
      </c>
      <c r="O47" s="113">
        <f t="shared" ref="O47" si="48">N47*(1+B$16)</f>
        <v>0.21807407407407406</v>
      </c>
      <c r="P47" s="67">
        <f t="shared" ref="P47" si="49">O47*B$4*(1-B$7)+O47*B$6*(B$7)</f>
        <v>4.3614814814814808</v>
      </c>
      <c r="Q47" s="5">
        <f t="shared" ref="Q47:Q51" si="50">I47-M47-P47</f>
        <v>-7.0948453703703702</v>
      </c>
      <c r="R47" s="5">
        <f>Q47*B$12</f>
        <v>-2.3412989722222224</v>
      </c>
      <c r="S47" s="5">
        <f t="shared" ref="S47:S51" si="51">Q47-R47</f>
        <v>-4.7535463981481474</v>
      </c>
      <c r="T47" s="4"/>
      <c r="U47" s="5">
        <f t="shared" ref="U47:U50" si="52">IF(U$15="Increase",IF(F47="y",0,IF($E47&gt;0,M47*$E47*(1+U$16),0)),IF(F47="y",0,IF($E47&gt;0,M47*$E47*(1-U$16),0)))</f>
        <v>0</v>
      </c>
      <c r="V47" s="5">
        <f t="shared" ref="V47" si="53">IF(V$15="Increase",IF(F47="y",0,IF($E47&gt;0,(O47*B$4*(1-B$7))*$E47*(1+V$16),0)),IF(F47="y",0,IF($E47&gt;0,(O47*B$4*(1-B$7))*$E47*(1-V$16),0)))</f>
        <v>0</v>
      </c>
      <c r="W47" s="5">
        <f t="shared" ref="W47" si="54">IF(W$15="Increase",IF(F47="y",0,IF($E47&gt;0,(O47*B$6*(B$7))*$E47*(1+W$16),0)),IF(F47="y",0,IF($E47&gt;0,(O47*B$6*(B$7))*$E47*(1-W$16),0)))</f>
        <v>0</v>
      </c>
      <c r="X47" s="5">
        <f t="shared" ref="X47:X50" si="55">IF(X$15="Increase",IF(F47="y",0,IF($E47&gt;0,R47*$E47*(1+X$16),0)),IF(F47="y",0,IF($E47&gt;0,R47*$E47*(1-X$16),0)))</f>
        <v>0</v>
      </c>
      <c r="Y47" s="5">
        <f t="shared" ref="Y47:Y50" si="56">IF(Y$15="Increase",IF(F47="y",0,IF($E47&gt;0,S47*$E47*(1+Y$16),0)),IF(F47="y",0,IF($E47&gt;0,S47*$E47*(1-Y$16),0)))</f>
        <v>0</v>
      </c>
      <c r="Z47" s="5">
        <f t="shared" ref="Z47:Z50" si="57">IF(Z$15="Increase",IF(F47="y",I47*E47*(1+Z$16),0),IF(F47="y",I47*E47*(1-Z$16),0))</f>
        <v>0</v>
      </c>
    </row>
    <row r="48" spans="1:26" x14ac:dyDescent="0.2">
      <c r="A48" s="4" t="s">
        <v>31</v>
      </c>
      <c r="B48" s="74">
        <v>1</v>
      </c>
      <c r="C48" s="74">
        <v>1</v>
      </c>
      <c r="D48" s="90">
        <f>'Machinery(Soybeans)'!D25</f>
        <v>1</v>
      </c>
      <c r="E48" s="69">
        <f>IF('Machinery(Soybeans)'!$C$17='Machinery(Soybeans)'!$B$63,D48,IF('Machinery(Soybeans)'!$C$16='Machinery(Soybeans)'!$B$59,B48,C48))</f>
        <v>1</v>
      </c>
      <c r="F48" s="26" t="str">
        <f>IF('Machinery(Soybeans)'!C17='Machinery(Soybeans)'!B64,'Machinery(Soybeans)'!B49,'Machinery(Soybeans)'!E25)</f>
        <v>N</v>
      </c>
      <c r="G48" s="29"/>
      <c r="H48" s="6">
        <v>31.5</v>
      </c>
      <c r="I48" s="111">
        <f>H48+J48+K48</f>
        <v>35.223083333333328</v>
      </c>
      <c r="J48" s="111">
        <f>L48*(B$3-B$2)</f>
        <v>2.8222499999999999</v>
      </c>
      <c r="K48" s="111">
        <f>(B$4*(1-B$7)+B$6*(B$7) - B$14)*O48</f>
        <v>0.90083333333333337</v>
      </c>
      <c r="L48" s="10">
        <v>1.8815</v>
      </c>
      <c r="M48" s="67">
        <f t="shared" ref="M48:M50" si="58">L48*B$3*(1+B$13)</f>
        <v>7.5730374999999999</v>
      </c>
      <c r="N48" s="11">
        <v>0.15666666666666668</v>
      </c>
      <c r="O48" s="113">
        <f t="shared" ref="O48:O50" si="59">N48*(1+B$16)</f>
        <v>0.18016666666666667</v>
      </c>
      <c r="P48" s="67">
        <f t="shared" ref="P48:P50" si="60">O48*B$4*(1-B$7)+O48*B$6*(B$7)</f>
        <v>3.6033333333333335</v>
      </c>
      <c r="Q48" s="5">
        <f t="shared" si="50"/>
        <v>24.046712499999998</v>
      </c>
      <c r="R48" s="5">
        <f>Q48*B$12</f>
        <v>7.9354151249999996</v>
      </c>
      <c r="S48" s="5">
        <f t="shared" si="51"/>
        <v>16.111297374999999</v>
      </c>
      <c r="T48" s="4"/>
      <c r="U48" s="5">
        <f t="shared" si="52"/>
        <v>7.5730374999999999</v>
      </c>
      <c r="V48" s="5">
        <f t="shared" ref="V48:V50" si="61">IF(V$15="Increase",IF(F48="y",0,IF($E48&gt;0,(O48*B$4*(1-B$7))*$E48*(1+V$16),0)),IF(F48="y",0,IF($E48&gt;0,(O48*B$4*(1-B$7))*$E48*(1-V$16),0)))</f>
        <v>3.6033333333333335</v>
      </c>
      <c r="W48" s="5">
        <f t="shared" ref="W48:W50" si="62">IF(W$15="Increase",IF(F48="y",0,IF($E48&gt;0,(O48*B$6*(B$7))*$E48*(1+W$16),0)),IF(F48="y",0,IF($E48&gt;0,(O48*B$6*(B$7))*$E48*(1-W$16),0)))</f>
        <v>0</v>
      </c>
      <c r="X48" s="5">
        <f t="shared" si="55"/>
        <v>7.9354151249999996</v>
      </c>
      <c r="Y48" s="5">
        <f t="shared" si="56"/>
        <v>16.111297374999999</v>
      </c>
      <c r="Z48" s="5">
        <f t="shared" si="57"/>
        <v>0</v>
      </c>
    </row>
    <row r="49" spans="1:27" x14ac:dyDescent="0.2">
      <c r="A49" s="4" t="s">
        <v>32</v>
      </c>
      <c r="B49" s="4"/>
      <c r="C49" s="4"/>
      <c r="D49" s="4"/>
      <c r="E49" s="25"/>
      <c r="F49" s="26"/>
      <c r="G49" s="29"/>
      <c r="H49" s="6"/>
      <c r="I49" s="6">
        <f>IF(G49&gt;0,G49,H49-(L49*B$2*1.05)+M49-N49*12.5+P49)</f>
        <v>4.134895138888889</v>
      </c>
      <c r="J49" s="6"/>
      <c r="K49" s="6"/>
      <c r="L49" s="10">
        <v>1.4732500000000002</v>
      </c>
      <c r="M49" s="67">
        <f t="shared" si="58"/>
        <v>5.9298312500000003</v>
      </c>
      <c r="N49" s="11">
        <v>0.1237037037037037</v>
      </c>
      <c r="O49" s="113">
        <f t="shared" si="59"/>
        <v>0.14225925925925925</v>
      </c>
      <c r="P49" s="67">
        <f t="shared" si="60"/>
        <v>2.8451851851851853</v>
      </c>
      <c r="Q49" s="5">
        <f t="shared" si="50"/>
        <v>-4.6401212962962965</v>
      </c>
      <c r="R49" s="5">
        <f>Q49*B$12</f>
        <v>-1.531240027777778</v>
      </c>
      <c r="S49" s="5">
        <f t="shared" si="51"/>
        <v>-3.1088812685185188</v>
      </c>
      <c r="T49" s="4"/>
      <c r="U49" s="5">
        <f t="shared" si="52"/>
        <v>0</v>
      </c>
      <c r="V49" s="5">
        <f t="shared" si="61"/>
        <v>0</v>
      </c>
      <c r="W49" s="5">
        <f t="shared" si="62"/>
        <v>0</v>
      </c>
      <c r="X49" s="5">
        <f t="shared" si="55"/>
        <v>0</v>
      </c>
      <c r="Y49" s="5">
        <f t="shared" si="56"/>
        <v>0</v>
      </c>
      <c r="Z49" s="5">
        <f t="shared" si="57"/>
        <v>0</v>
      </c>
    </row>
    <row r="50" spans="1:27" x14ac:dyDescent="0.2">
      <c r="A50" s="4" t="s">
        <v>47</v>
      </c>
      <c r="B50" s="74">
        <v>0.5</v>
      </c>
      <c r="C50" s="74">
        <v>0.5</v>
      </c>
      <c r="D50" s="90">
        <f>'Machinery(Soybeans)'!D26</f>
        <v>0.5</v>
      </c>
      <c r="E50" s="90">
        <f>IF('Machinery(Soybeans)'!$C$17='Machinery(Soybeans)'!$B$63,D50,IF('Machinery(Soybeans)'!$C$16='Machinery(Soybeans)'!$B$59,B50,C50))</f>
        <v>0.5</v>
      </c>
      <c r="F50" s="98" t="str">
        <f>IF('Machinery(Soybeans)'!C17='Machinery(Soybeans)'!B64,'Machinery(Soybeans)'!B49,'Machinery(Soybeans)'!E26)</f>
        <v>N</v>
      </c>
      <c r="G50" s="78"/>
      <c r="H50" s="6">
        <v>5.5</v>
      </c>
      <c r="I50" s="111">
        <f>H50+J50+K50</f>
        <v>6.3150000000000004</v>
      </c>
      <c r="J50" s="111">
        <f>L50*(B$3-B$2)</f>
        <v>0.24</v>
      </c>
      <c r="K50" s="111">
        <f>(B$4*(1-B$7)+B$6*(B$7) - B$14)*O50</f>
        <v>0.57499999999999996</v>
      </c>
      <c r="L50" s="10">
        <v>0.16</v>
      </c>
      <c r="M50" s="67">
        <f t="shared" si="58"/>
        <v>0.64400000000000002</v>
      </c>
      <c r="N50" s="11">
        <v>0.1</v>
      </c>
      <c r="O50" s="113">
        <f t="shared" si="59"/>
        <v>0.11499999999999999</v>
      </c>
      <c r="P50" s="67">
        <f t="shared" si="60"/>
        <v>2.2999999999999998</v>
      </c>
      <c r="Q50" s="5">
        <f t="shared" si="50"/>
        <v>3.3710000000000004</v>
      </c>
      <c r="R50" s="5">
        <f>Q50*B$12</f>
        <v>1.1124300000000003</v>
      </c>
      <c r="S50" s="5">
        <f t="shared" si="51"/>
        <v>2.2585700000000002</v>
      </c>
      <c r="T50" s="4"/>
      <c r="U50" s="5">
        <f t="shared" si="52"/>
        <v>0.32200000000000001</v>
      </c>
      <c r="V50" s="5">
        <f t="shared" si="61"/>
        <v>1.1499999999999999</v>
      </c>
      <c r="W50" s="5">
        <f t="shared" si="62"/>
        <v>0</v>
      </c>
      <c r="X50" s="5">
        <f t="shared" si="55"/>
        <v>0.55621500000000013</v>
      </c>
      <c r="Y50" s="5">
        <f t="shared" si="56"/>
        <v>1.1292850000000001</v>
      </c>
      <c r="Z50" s="5">
        <f t="shared" si="57"/>
        <v>0</v>
      </c>
      <c r="AA50" s="2"/>
    </row>
    <row r="51" spans="1:27" x14ac:dyDescent="0.2">
      <c r="A51" s="516" t="s">
        <v>102</v>
      </c>
      <c r="B51" s="517"/>
      <c r="C51" s="517"/>
      <c r="D51" s="517"/>
      <c r="E51" s="413"/>
      <c r="F51" s="114"/>
      <c r="G51" s="115"/>
      <c r="H51" s="116"/>
      <c r="I51" s="116">
        <f>IF(G51&gt;0,G51,Trucking!H26*Soybeans!E6)</f>
        <v>11.415359429651055</v>
      </c>
      <c r="J51" s="116"/>
      <c r="K51" s="116"/>
      <c r="L51" s="117">
        <f>((Soybeans!E6*Trucking!B26*2)*(1+Trucking!C4))/(Trucking!C3*Trucking!C2)</f>
        <v>0.69631578947368422</v>
      </c>
      <c r="M51" s="118">
        <f>L51*Trucking!C9</f>
        <v>2.6599263157894737</v>
      </c>
      <c r="N51" s="116"/>
      <c r="O51" s="113">
        <f>Soybeans!E6*((((B8*2)/Trucking!C7) + (Trucking!C5/60)))/Trucking!C2</f>
        <v>0.14526315789473684</v>
      </c>
      <c r="P51" s="118">
        <f>O51*B$4*(1-B$7)+O51*B$6*(B$7)</f>
        <v>2.905263157894737</v>
      </c>
      <c r="Q51" s="118">
        <f t="shared" si="50"/>
        <v>5.8501699559668445</v>
      </c>
      <c r="R51" s="118">
        <f>Q51*B$12</f>
        <v>1.9305560854690589</v>
      </c>
      <c r="S51" s="118">
        <f t="shared" si="51"/>
        <v>3.9196138704977859</v>
      </c>
      <c r="T51" s="120"/>
      <c r="U51" s="118">
        <f>IF(Soybeans!C76=Soybeans!C74,0,IF(U$15="Increase",IF(F51="y",0,IF($B8&gt;0,M51*(1+U$16),0)),IF(F51="y",0,IF($B8&gt;0,M51*(1-U$16),0))))</f>
        <v>2.6599263157894737</v>
      </c>
      <c r="V51" s="5">
        <f>IF(Soybeans!C76=Soybeans!C74,0,IF(V$15="Increase",IF(F51="y",0,IF($B8&gt;0,(O51*B$4*(1-B$7)*(1+V$16)),0)),IF(F51="y",0,IF($B8&gt;0,(O51*B$4*(1-B$7)*(1-V$16)),0))))</f>
        <v>2.905263157894737</v>
      </c>
      <c r="W51" s="5">
        <f>IF(Soybeans!C76=Soybeans!C74,0,IF(W$15="Increase",IF(F51="y",0,IF($B8&gt;0,(O51*B$6*(B$7)*(1+W$16)),0)),IF(F51="y",0,IF($B8&gt;0,(O51*B$6*(B$7)*(1-W$16)),0))))</f>
        <v>0</v>
      </c>
      <c r="X51" s="118">
        <f>IF(Soybeans!C76=Soybeans!C74,0,IF(X$15="Increase",IF(F51="y",0,IF($B8&gt;0,R51*(1+X$16),0)),IF(F51="y",0,IF($B8&gt;0,R51*(1-X$16),0))))</f>
        <v>1.9305560854690589</v>
      </c>
      <c r="Y51" s="118">
        <f>IF(Soybeans!C76=Soybeans!C74,0,IF(Y$15="Increase",IF(F51="y",0,IF($B8&gt;0,S51*(1+Y$16),0)),IF(F51="y",0,IF($B8&gt;0,S51*(1-Y$16),0))))</f>
        <v>3.9196138704977859</v>
      </c>
      <c r="Z51" s="118">
        <f>IF(Soybeans!C76=Soybeans!C74,0,IF(Z$15="Increase",IF(F51="y",I51*(1+Z$16),0),IF(F51="y",I51*(1-Z$16),0)))</f>
        <v>0</v>
      </c>
      <c r="AA51" s="2">
        <f>SUM(U51:Z51)</f>
        <v>11.415359429651055</v>
      </c>
    </row>
    <row r="52" spans="1:27" x14ac:dyDescent="0.2">
      <c r="A52" s="4"/>
      <c r="B52" s="4"/>
      <c r="C52" s="4"/>
      <c r="D52" s="4"/>
      <c r="E52" s="25"/>
      <c r="F52" s="26"/>
      <c r="G52" s="29"/>
      <c r="H52" s="6"/>
      <c r="I52" s="6"/>
      <c r="J52" s="6"/>
      <c r="K52" s="6"/>
      <c r="L52" s="4"/>
      <c r="M52" s="4"/>
      <c r="N52" s="4"/>
      <c r="O52" s="4"/>
      <c r="P52" s="4"/>
      <c r="Q52" s="4"/>
      <c r="R52" s="4"/>
      <c r="S52" s="4"/>
      <c r="T52" s="4"/>
      <c r="U52" s="4"/>
      <c r="V52" s="4"/>
      <c r="W52" s="4"/>
      <c r="X52" s="4"/>
      <c r="Y52" s="4"/>
      <c r="Z52" s="4"/>
    </row>
    <row r="53" spans="1:27" x14ac:dyDescent="0.2">
      <c r="A53" s="9" t="s">
        <v>33</v>
      </c>
      <c r="B53" s="9"/>
      <c r="C53" s="9"/>
      <c r="D53" s="9"/>
      <c r="E53" s="25"/>
      <c r="F53" s="26"/>
      <c r="G53" s="29"/>
      <c r="H53" s="6"/>
      <c r="I53" s="6"/>
      <c r="J53" s="6"/>
      <c r="K53" s="6"/>
      <c r="L53" s="4"/>
      <c r="M53" s="4"/>
      <c r="N53" s="4"/>
      <c r="O53" s="4"/>
      <c r="P53" s="4"/>
      <c r="Q53" s="4"/>
      <c r="R53" s="4"/>
      <c r="S53" s="4"/>
      <c r="T53" s="4"/>
      <c r="U53" s="4"/>
      <c r="V53" s="4"/>
      <c r="W53" s="4"/>
      <c r="X53" s="4"/>
      <c r="Y53" s="4"/>
      <c r="Z53" s="4"/>
    </row>
    <row r="54" spans="1:27" x14ac:dyDescent="0.2">
      <c r="A54" s="4"/>
      <c r="B54" s="4"/>
      <c r="C54" s="4"/>
      <c r="D54" s="4"/>
      <c r="E54" s="25"/>
      <c r="F54" s="26"/>
      <c r="G54" s="29"/>
      <c r="H54" s="6"/>
      <c r="I54" s="6"/>
      <c r="J54" s="6"/>
      <c r="K54" s="6"/>
      <c r="L54" s="4"/>
      <c r="M54" s="4"/>
      <c r="N54" s="4"/>
      <c r="O54" s="4"/>
      <c r="P54" s="4"/>
      <c r="Q54" s="4"/>
      <c r="R54" s="4"/>
      <c r="S54" s="4"/>
      <c r="T54" s="4"/>
      <c r="U54" s="4"/>
      <c r="V54" s="4"/>
      <c r="W54" s="4"/>
      <c r="X54" s="4"/>
      <c r="Y54" s="4"/>
      <c r="Z54" s="4"/>
    </row>
    <row r="55" spans="1:27" x14ac:dyDescent="0.2">
      <c r="A55" s="9" t="s">
        <v>35</v>
      </c>
      <c r="B55" s="9"/>
      <c r="C55" s="9"/>
      <c r="D55" s="9"/>
      <c r="E55" s="25"/>
      <c r="F55" s="26"/>
      <c r="G55" s="29"/>
      <c r="H55" s="6"/>
      <c r="I55" s="6"/>
      <c r="J55" s="6"/>
      <c r="K55" s="6"/>
      <c r="L55" s="4"/>
      <c r="M55" s="4"/>
      <c r="N55" s="4"/>
      <c r="O55" s="4"/>
      <c r="P55" s="4"/>
      <c r="Q55" s="4"/>
      <c r="R55" s="4"/>
      <c r="S55" s="4"/>
      <c r="T55" s="4"/>
      <c r="U55" s="4"/>
      <c r="V55" s="4"/>
      <c r="W55" s="4"/>
      <c r="X55" s="4"/>
      <c r="Y55" s="4"/>
      <c r="Z55" s="4"/>
    </row>
    <row r="56" spans="1:27" x14ac:dyDescent="0.2">
      <c r="A56" s="4" t="s">
        <v>36</v>
      </c>
      <c r="B56" s="74">
        <v>1</v>
      </c>
      <c r="C56" s="74">
        <v>1</v>
      </c>
      <c r="D56" s="90">
        <f>'Machinery(Soybeans)'!D24</f>
        <v>1</v>
      </c>
      <c r="E56" s="69">
        <f>IF('Machinery(Soybeans)'!$C$17='Machinery(Soybeans)'!$B$63,D56,IF('Machinery(Soybeans)'!$C$16='Machinery(Soybeans)'!$B$59,B56,C56))</f>
        <v>1</v>
      </c>
      <c r="F56" s="26" t="str">
        <f>IF('Machinery(Soybeans)'!C17='Machinery(Soybeans)'!B64,'Machinery(Soybeans)'!B49,'Machinery(Soybeans)'!E24)</f>
        <v>N</v>
      </c>
      <c r="G56" s="29"/>
      <c r="H56" s="6">
        <v>6.5</v>
      </c>
      <c r="I56" s="111">
        <f>H56+J56+K56</f>
        <v>7.2122882967285262</v>
      </c>
      <c r="J56" s="111">
        <f>L56*(B$3-B$2)</f>
        <v>0.48725758744855963</v>
      </c>
      <c r="K56" s="111">
        <f>(B$4*(1-B$7)+B$6*(B$7) - B$14)*O56</f>
        <v>0.22503070927996624</v>
      </c>
      <c r="L56" s="10">
        <v>0.3248383916323731</v>
      </c>
      <c r="M56" s="67">
        <f t="shared" ref="M56:M60" si="63">L56*B$3*(1+B$13)</f>
        <v>1.3074745263203018</v>
      </c>
      <c r="N56" s="11">
        <v>3.9135775526950654E-2</v>
      </c>
      <c r="O56" s="113">
        <f t="shared" ref="O56:O60" si="64">N56*(1+B$16)</f>
        <v>4.5006141855993248E-2</v>
      </c>
      <c r="P56" s="67">
        <f t="shared" ref="P56:P60" si="65">O56*B$4*(1-B$7)+O56*B$6*(B$7)</f>
        <v>0.90012283711986496</v>
      </c>
      <c r="Q56" s="5">
        <f t="shared" ref="Q56:Q60" si="66">I56-M56-P56</f>
        <v>5.0046909332883596</v>
      </c>
      <c r="R56" s="5">
        <f t="shared" ref="R56:R60" si="67">Q56*B$12</f>
        <v>1.6515480079851588</v>
      </c>
      <c r="S56" s="5">
        <f t="shared" ref="S56:S60" si="68">Q56-R56</f>
        <v>3.3531429253032008</v>
      </c>
      <c r="T56" s="4"/>
      <c r="U56" s="5">
        <f t="shared" ref="U56:U60" si="69">IF(U$15="Increase",IF(F56="y",0,IF($E56&gt;0,M56*$E56*(1+U$16),0)),IF(F56="y",0,IF($E56&gt;0,M56*$E56*(1-U$16),0)))</f>
        <v>1.3074745263203018</v>
      </c>
      <c r="V56" s="5">
        <f t="shared" ref="V56:V60" si="70">IF(V$15="Increase",IF(F56="y",0,IF($E56&gt;0,(O56*B$4*(1-B$7))*$E56*(1+V$16),0)),IF(F56="y",0,IF($E56&gt;0,(O56*B$4*(1-B$7))*$E56*(1-V$16),0)))</f>
        <v>0.90012283711986496</v>
      </c>
      <c r="W56" s="5">
        <f t="shared" ref="W56:W60" si="71">IF(W$15="Increase",IF(F56="y",0,IF($E56&gt;0,(O56*B$6*(B$7))*$E56*(1+W$16),0)),IF(F56="y",0,IF($E56&gt;0,(O56*B$6*(B$7))*$E56*(1-W$16),0)))</f>
        <v>0</v>
      </c>
      <c r="X56" s="5">
        <f t="shared" ref="X56:X60" si="72">IF(X$15="Increase",IF(F56="y",0,IF($E56&gt;0,R56*$E56*(1+X$16),0)),IF(F56="y",0,IF($E56&gt;0,R56*$E56*(1-X$16),0)))</f>
        <v>1.6515480079851588</v>
      </c>
      <c r="Y56" s="5">
        <f t="shared" ref="Y56:Y60" si="73">IF(Y$15="Increase",IF(F56="y",0,IF($E56&gt;0,S56*$E56*(1+Y$16),0)),IF(F56="y",0,IF($E56&gt;0,S56*$E56*(1-Y$16),0)))</f>
        <v>3.3531429253032008</v>
      </c>
      <c r="Z56" s="5">
        <f t="shared" ref="Z56:Z60" si="74">IF(Z$15="Increase",IF(F56="y",I56*E56*(1+Z$16),0),IF(F56="y",I56*E56*(1-Z$16),0))</f>
        <v>0</v>
      </c>
    </row>
    <row r="57" spans="1:27" x14ac:dyDescent="0.2">
      <c r="A57" s="4" t="s">
        <v>37</v>
      </c>
      <c r="B57" s="4"/>
      <c r="C57" s="4"/>
      <c r="D57" s="4"/>
      <c r="E57" s="25"/>
      <c r="F57" s="26"/>
      <c r="G57" s="29"/>
      <c r="H57" s="6"/>
      <c r="I57" s="6">
        <f t="shared" ref="I57:I60" si="75">IF(G57&gt;0,G57,H57-(L57*B$2*1.05)+M57-N57*12.5+P57)</f>
        <v>1.3227515775611622</v>
      </c>
      <c r="J57" s="6"/>
      <c r="K57" s="6"/>
      <c r="L57" s="10">
        <v>0.41465363511659803</v>
      </c>
      <c r="M57" s="67">
        <f t="shared" si="63"/>
        <v>1.668980881344307</v>
      </c>
      <c r="N57" s="11">
        <v>4.9956507615401075E-2</v>
      </c>
      <c r="O57" s="113">
        <f t="shared" si="64"/>
        <v>5.744998375771123E-2</v>
      </c>
      <c r="P57" s="67">
        <f t="shared" si="65"/>
        <v>1.1489996751542246</v>
      </c>
      <c r="Q57" s="5">
        <f t="shared" si="66"/>
        <v>-1.4952289789373694</v>
      </c>
      <c r="R57" s="5">
        <f t="shared" si="67"/>
        <v>-0.49342556304933194</v>
      </c>
      <c r="S57" s="5">
        <f t="shared" si="68"/>
        <v>-1.0018034158880376</v>
      </c>
      <c r="T57" s="4"/>
      <c r="U57" s="5">
        <f t="shared" si="69"/>
        <v>0</v>
      </c>
      <c r="V57" s="5">
        <f t="shared" si="70"/>
        <v>0</v>
      </c>
      <c r="W57" s="5">
        <f t="shared" si="71"/>
        <v>0</v>
      </c>
      <c r="X57" s="5">
        <f t="shared" si="72"/>
        <v>0</v>
      </c>
      <c r="Y57" s="5">
        <f t="shared" si="73"/>
        <v>0</v>
      </c>
      <c r="Z57" s="5">
        <f t="shared" si="74"/>
        <v>0</v>
      </c>
    </row>
    <row r="58" spans="1:27" x14ac:dyDescent="0.2">
      <c r="A58" s="4" t="s">
        <v>38</v>
      </c>
      <c r="B58" s="4"/>
      <c r="C58" s="4"/>
      <c r="D58" s="4"/>
      <c r="E58" s="25"/>
      <c r="F58" s="26"/>
      <c r="G58" s="29"/>
      <c r="H58" s="6"/>
      <c r="I58" s="6">
        <f t="shared" si="75"/>
        <v>1.2651967379268214</v>
      </c>
      <c r="J58" s="6"/>
      <c r="K58" s="6"/>
      <c r="L58" s="10">
        <v>0.39661145404663922</v>
      </c>
      <c r="M58" s="67">
        <f t="shared" si="63"/>
        <v>1.5963611025377227</v>
      </c>
      <c r="N58" s="11">
        <v>4.778282751305156E-2</v>
      </c>
      <c r="O58" s="113">
        <f t="shared" si="64"/>
        <v>5.4950251640009287E-2</v>
      </c>
      <c r="P58" s="67">
        <f t="shared" si="65"/>
        <v>1.0990050328001857</v>
      </c>
      <c r="Q58" s="5">
        <f t="shared" si="66"/>
        <v>-1.430169397411087</v>
      </c>
      <c r="R58" s="5">
        <f t="shared" si="67"/>
        <v>-0.47195590114565872</v>
      </c>
      <c r="S58" s="5">
        <f t="shared" si="68"/>
        <v>-0.95821349626542829</v>
      </c>
      <c r="T58" s="4"/>
      <c r="U58" s="5">
        <f t="shared" si="69"/>
        <v>0</v>
      </c>
      <c r="V58" s="5">
        <f t="shared" si="70"/>
        <v>0</v>
      </c>
      <c r="W58" s="5">
        <f t="shared" si="71"/>
        <v>0</v>
      </c>
      <c r="X58" s="5">
        <f t="shared" si="72"/>
        <v>0</v>
      </c>
      <c r="Y58" s="5">
        <f t="shared" si="73"/>
        <v>0</v>
      </c>
      <c r="Z58" s="5">
        <f t="shared" si="74"/>
        <v>0</v>
      </c>
    </row>
    <row r="59" spans="1:27" x14ac:dyDescent="0.2">
      <c r="A59" s="4" t="s">
        <v>39</v>
      </c>
      <c r="B59" s="4"/>
      <c r="C59" s="4"/>
      <c r="D59" s="4"/>
      <c r="E59" s="25"/>
      <c r="F59" s="26"/>
      <c r="G59" s="29"/>
      <c r="H59" s="6"/>
      <c r="I59" s="6">
        <f t="shared" si="75"/>
        <v>2.2082883207070703</v>
      </c>
      <c r="J59" s="6"/>
      <c r="K59" s="6"/>
      <c r="L59" s="10">
        <v>0.69225000000000003</v>
      </c>
      <c r="M59" s="67">
        <f t="shared" si="63"/>
        <v>2.78630625</v>
      </c>
      <c r="N59" s="11">
        <v>8.3400673400673392E-2</v>
      </c>
      <c r="O59" s="113">
        <f t="shared" si="64"/>
        <v>9.5910774410774391E-2</v>
      </c>
      <c r="P59" s="67">
        <f t="shared" si="65"/>
        <v>1.9182154882154878</v>
      </c>
      <c r="Q59" s="5">
        <f t="shared" si="66"/>
        <v>-2.4962334175084173</v>
      </c>
      <c r="R59" s="5">
        <f t="shared" si="67"/>
        <v>-0.82375702777777771</v>
      </c>
      <c r="S59" s="5">
        <f t="shared" si="68"/>
        <v>-1.6724763897306396</v>
      </c>
      <c r="T59" s="4"/>
      <c r="U59" s="5">
        <f t="shared" si="69"/>
        <v>0</v>
      </c>
      <c r="V59" s="5">
        <f t="shared" si="70"/>
        <v>0</v>
      </c>
      <c r="W59" s="5">
        <f t="shared" si="71"/>
        <v>0</v>
      </c>
      <c r="X59" s="5">
        <f t="shared" si="72"/>
        <v>0</v>
      </c>
      <c r="Y59" s="5">
        <f t="shared" si="73"/>
        <v>0</v>
      </c>
      <c r="Z59" s="5">
        <f t="shared" si="74"/>
        <v>0</v>
      </c>
    </row>
    <row r="60" spans="1:27" x14ac:dyDescent="0.2">
      <c r="A60" s="4" t="s">
        <v>40</v>
      </c>
      <c r="B60" s="4"/>
      <c r="C60" s="4"/>
      <c r="D60" s="4"/>
      <c r="E60" s="25"/>
      <c r="F60" s="26"/>
      <c r="G60" s="29"/>
      <c r="H60" s="6"/>
      <c r="I60" s="6">
        <f t="shared" si="75"/>
        <v>3.546690775712658</v>
      </c>
      <c r="J60" s="6"/>
      <c r="K60" s="6"/>
      <c r="L60" s="10">
        <v>1.1118098422496572</v>
      </c>
      <c r="M60" s="67">
        <f t="shared" si="63"/>
        <v>4.4750346150548692</v>
      </c>
      <c r="N60" s="11">
        <v>0.13394826946495897</v>
      </c>
      <c r="O60" s="113">
        <f t="shared" si="64"/>
        <v>0.1540405098847028</v>
      </c>
      <c r="P60" s="67">
        <f t="shared" si="65"/>
        <v>3.0808101976940563</v>
      </c>
      <c r="Q60" s="5">
        <f t="shared" si="66"/>
        <v>-4.0091540370362679</v>
      </c>
      <c r="R60" s="5">
        <f t="shared" si="67"/>
        <v>-1.3230208322219685</v>
      </c>
      <c r="S60" s="5">
        <f t="shared" si="68"/>
        <v>-2.6861332048142996</v>
      </c>
      <c r="T60" s="4"/>
      <c r="U60" s="5">
        <f t="shared" si="69"/>
        <v>0</v>
      </c>
      <c r="V60" s="5">
        <f t="shared" si="70"/>
        <v>0</v>
      </c>
      <c r="W60" s="5">
        <f t="shared" si="71"/>
        <v>0</v>
      </c>
      <c r="X60" s="5">
        <f t="shared" si="72"/>
        <v>0</v>
      </c>
      <c r="Y60" s="5">
        <f t="shared" si="73"/>
        <v>0</v>
      </c>
      <c r="Z60" s="5">
        <f t="shared" si="74"/>
        <v>0</v>
      </c>
    </row>
    <row r="61" spans="1:27" x14ac:dyDescent="0.2">
      <c r="A61" s="4"/>
      <c r="B61" s="4"/>
      <c r="C61" s="4"/>
      <c r="D61" s="4"/>
      <c r="E61" s="25"/>
      <c r="F61" s="26"/>
      <c r="G61" s="29"/>
      <c r="H61" s="6"/>
      <c r="I61" s="6"/>
      <c r="J61" s="6"/>
      <c r="K61" s="6"/>
      <c r="L61" s="4"/>
      <c r="M61" s="4"/>
      <c r="N61" s="4"/>
      <c r="O61" s="4"/>
      <c r="P61" s="4"/>
      <c r="Q61" s="4"/>
      <c r="R61" s="4"/>
      <c r="S61" s="4"/>
      <c r="T61" s="4"/>
      <c r="U61" s="4"/>
      <c r="V61" s="4"/>
      <c r="W61" s="4"/>
      <c r="X61" s="4"/>
      <c r="Y61" s="4"/>
      <c r="Z61" s="4"/>
    </row>
    <row r="62" spans="1:27" x14ac:dyDescent="0.2">
      <c r="A62" s="9" t="s">
        <v>41</v>
      </c>
      <c r="B62" s="9"/>
      <c r="C62" s="9"/>
      <c r="D62" s="9"/>
      <c r="E62" s="25"/>
      <c r="F62" s="26"/>
      <c r="G62" s="29"/>
      <c r="H62" s="6"/>
      <c r="I62" s="6"/>
      <c r="J62" s="6"/>
      <c r="K62" s="6"/>
      <c r="L62" s="4"/>
      <c r="M62" s="4"/>
      <c r="N62" s="4"/>
      <c r="O62" s="4"/>
      <c r="P62" s="4"/>
      <c r="Q62" s="4"/>
      <c r="R62" s="4"/>
      <c r="S62" s="4"/>
      <c r="T62" s="4"/>
      <c r="U62" s="4"/>
      <c r="V62" s="4"/>
      <c r="W62" s="4"/>
      <c r="X62" s="4"/>
      <c r="Y62" s="4"/>
      <c r="Z62" s="4"/>
    </row>
    <row r="63" spans="1:27" x14ac:dyDescent="0.2">
      <c r="A63" s="4" t="s">
        <v>42</v>
      </c>
      <c r="B63" s="74">
        <v>2.5</v>
      </c>
      <c r="C63" s="74">
        <v>2.5</v>
      </c>
      <c r="D63" s="90">
        <f>'Machinery(Soybeans)'!D23</f>
        <v>2</v>
      </c>
      <c r="E63" s="69">
        <f>IF('Machinery(Soybeans)'!$C$17='Machinery(Soybeans)'!$B$63,D63,IF('Machinery(Soybeans)'!$C$16='Machinery(Soybeans)'!$B$59,B63,C63))</f>
        <v>2.5</v>
      </c>
      <c r="F63" s="26" t="str">
        <f>IF('Machinery(Soybeans)'!C17='Machinery(Soybeans)'!B64,'Machinery(Soybeans)'!B49,'Machinery(Soybeans)'!E23)</f>
        <v>N</v>
      </c>
      <c r="G63" s="29"/>
      <c r="H63" s="6">
        <v>7.5</v>
      </c>
      <c r="I63" s="111">
        <f>H63+J63+K63</f>
        <v>7.8498749999999999</v>
      </c>
      <c r="J63" s="111">
        <f>L63*(B$3-B$2)</f>
        <v>0.177375</v>
      </c>
      <c r="K63" s="111">
        <f>(B$4*(1-B$7)+B$6*(B$7) - B$14)*O63</f>
        <v>0.17249999999999999</v>
      </c>
      <c r="L63" s="10">
        <v>0.11825000000000001</v>
      </c>
      <c r="M63" s="67">
        <f t="shared" ref="M63:M64" si="76">L63*B$3*(1+B$13)</f>
        <v>0.47595625000000003</v>
      </c>
      <c r="N63" s="11">
        <v>0.03</v>
      </c>
      <c r="O63" s="113">
        <f t="shared" ref="O63:O64" si="77">N63*(1+B$16)</f>
        <v>3.4499999999999996E-2</v>
      </c>
      <c r="P63" s="67">
        <f t="shared" ref="P63:P64" si="78">O63*B$4*(1-B$7)+O63*B$6*(B$7)</f>
        <v>0.69</v>
      </c>
      <c r="Q63" s="5">
        <f>I63-M63-P63</f>
        <v>6.6839187500000001</v>
      </c>
      <c r="R63" s="5">
        <f>Q63*B$12</f>
        <v>2.2056931875000001</v>
      </c>
      <c r="S63" s="5">
        <f>Q63-R63</f>
        <v>4.4782255625000005</v>
      </c>
      <c r="T63" s="4"/>
      <c r="U63" s="5">
        <f>IF(U$15="Increase",IF(F63="y",0,IF($E63&gt;0,M63*$E63*(1+U$16),0)),IF(F63="y",0,IF($E63&gt;0,M63*$E63*(1-U$16),0)))</f>
        <v>1.1898906250000001</v>
      </c>
      <c r="V63" s="5">
        <f t="shared" ref="V63:V64" si="79">IF(V$15="Increase",IF(F63="y",0,IF($E63&gt;0,(O63*B$4*(1-B$7))*$E63*(1+V$16),0)),IF(F63="y",0,IF($E63&gt;0,(O63*B$4*(1-B$7))*$E63*(1-V$16),0)))</f>
        <v>1.7249999999999999</v>
      </c>
      <c r="W63" s="5">
        <f t="shared" ref="W63:W64" si="80">IF(W$15="Increase",IF(F63="y",0,IF($E63&gt;0,(O63*B$6*(B$7))*$E63*(1+W$16),0)),IF(F63="y",0,IF($E63&gt;0,(O63*B$6*(B$7))*$E63*(1-W$16),0)))</f>
        <v>0</v>
      </c>
      <c r="X63" s="5">
        <f>IF(X$15="Increase",IF(F63="y",0,IF($E63&gt;0,R63*$E63*(1+X$16),0)),IF(F63="y",0,IF($E63&gt;0,R63*$E63*(1-X$16),0)))</f>
        <v>5.51423296875</v>
      </c>
      <c r="Y63" s="5">
        <f>IF(Y$15="Increase",IF(F63="y",0,IF($E63&gt;0,S63*$E63*(1+Y$16),0)),IF(F63="y",0,IF($E63&gt;0,S63*$E63*(1-Y$16),0)))</f>
        <v>11.195563906250001</v>
      </c>
      <c r="Z63" s="5">
        <f>IF(Z$15="Increase",IF(F63="y",I63*E63*(1+Z$16),0),IF(F63="y",I63*E63*(1-Z$16),0))</f>
        <v>0</v>
      </c>
    </row>
    <row r="64" spans="1:27" x14ac:dyDescent="0.2">
      <c r="A64" s="4" t="s">
        <v>43</v>
      </c>
      <c r="B64" s="4"/>
      <c r="C64" s="4"/>
      <c r="D64" s="4"/>
      <c r="E64" s="25"/>
      <c r="F64" s="26"/>
      <c r="G64" s="29"/>
      <c r="H64" s="6"/>
      <c r="I64" s="6">
        <f>IF(G64&gt;0,G64,H64-(L64*B$2*1.05)+M64-N64*12.5+P64)</f>
        <v>0.36730555555555555</v>
      </c>
      <c r="J64" s="6"/>
      <c r="K64" s="6"/>
      <c r="L64" s="10">
        <v>0.11</v>
      </c>
      <c r="M64" s="67">
        <f t="shared" si="76"/>
        <v>0.44274999999999998</v>
      </c>
      <c r="N64" s="11">
        <v>1.4814814814814815E-2</v>
      </c>
      <c r="O64" s="113">
        <f t="shared" si="77"/>
        <v>1.7037037037037038E-2</v>
      </c>
      <c r="P64" s="67">
        <f t="shared" si="78"/>
        <v>0.34074074074074079</v>
      </c>
      <c r="Q64" s="5">
        <f>I64-M64-P64</f>
        <v>-0.41618518518518521</v>
      </c>
      <c r="R64" s="5">
        <f>Q64*B$12</f>
        <v>-0.13734111111111114</v>
      </c>
      <c r="S64" s="5">
        <f>Q64-R64</f>
        <v>-0.27884407407407408</v>
      </c>
      <c r="T64" s="4"/>
      <c r="U64" s="5">
        <f>IF(U$15="Increase",IF(F64="y",0,IF($E64&gt;0,M64*$E64*(1+U$16),0)),IF(F64="y",0,IF($E64&gt;0,M64*$E64*(1-U$16),0)))</f>
        <v>0</v>
      </c>
      <c r="V64" s="5">
        <f t="shared" si="79"/>
        <v>0</v>
      </c>
      <c r="W64" s="5">
        <f t="shared" si="80"/>
        <v>0</v>
      </c>
      <c r="X64" s="5">
        <f>IF(X$15="Increase",IF(F64="y",0,IF($E64&gt;0,R64*$E64*(1+X$16),0)),IF(F64="y",0,IF($E64&gt;0,R64*$E64*(1-X$16),0)))</f>
        <v>0</v>
      </c>
      <c r="Y64" s="5">
        <f>IF(Y$15="Increase",IF(F64="y",0,IF($E64&gt;0,S64*$E64*(1+Y$16),0)),IF(F64="y",0,IF($E64&gt;0,S64*$E64*(1-Y$16),0)))</f>
        <v>0</v>
      </c>
      <c r="Z64" s="5">
        <f>IF(Z$15="Increase",IF(F64="y",I64*E64*(1+Z$16),0),IF(F64="y",I64*E64*(1-Z$16),0))</f>
        <v>0</v>
      </c>
    </row>
    <row r="65" spans="1:27" x14ac:dyDescent="0.2">
      <c r="A65" s="4"/>
      <c r="B65" s="4"/>
      <c r="C65" s="4"/>
      <c r="D65" s="4"/>
      <c r="E65" s="25"/>
      <c r="F65" s="26"/>
      <c r="G65" s="29"/>
      <c r="H65" s="6"/>
      <c r="I65" s="6"/>
      <c r="J65" s="6"/>
      <c r="K65" s="6"/>
      <c r="L65" s="4"/>
      <c r="M65" s="4"/>
      <c r="N65" s="4"/>
      <c r="O65" s="4"/>
      <c r="P65" s="4"/>
      <c r="Q65" s="4"/>
      <c r="R65" s="4"/>
      <c r="S65" s="4"/>
      <c r="T65" s="4"/>
      <c r="U65" s="4"/>
      <c r="V65" s="4"/>
      <c r="W65" s="4"/>
      <c r="X65" s="4"/>
      <c r="Y65" s="4"/>
      <c r="Z65" s="4"/>
    </row>
    <row r="66" spans="1:27" x14ac:dyDescent="0.2">
      <c r="A66" s="9" t="s">
        <v>44</v>
      </c>
      <c r="B66" s="9"/>
      <c r="C66" s="9"/>
      <c r="D66" s="9"/>
      <c r="E66" s="25"/>
      <c r="F66" s="26"/>
      <c r="G66" s="29"/>
      <c r="H66" s="6"/>
      <c r="I66" s="6"/>
      <c r="J66" s="6"/>
      <c r="K66" s="6"/>
      <c r="L66" s="4"/>
      <c r="M66" s="4"/>
      <c r="N66" s="4"/>
      <c r="O66" s="4"/>
      <c r="P66" s="4"/>
      <c r="Q66" s="4"/>
      <c r="R66" s="4"/>
      <c r="S66" s="4"/>
      <c r="T66" s="4"/>
      <c r="U66" s="4"/>
      <c r="V66" s="4"/>
      <c r="W66" s="4"/>
      <c r="X66" s="4"/>
      <c r="Y66" s="4"/>
      <c r="Z66" s="4"/>
    </row>
    <row r="67" spans="1:27" x14ac:dyDescent="0.2">
      <c r="A67" s="4" t="s">
        <v>45</v>
      </c>
      <c r="B67" s="4"/>
      <c r="C67" s="4"/>
      <c r="D67" s="4"/>
      <c r="E67" s="25"/>
      <c r="F67" s="26"/>
      <c r="G67" s="29"/>
      <c r="H67" s="6"/>
      <c r="I67" s="6">
        <f>IF(G67&gt;0,G67,H67-(L67*B$2*1.05)+M67-N67*12.5+P67)</f>
        <v>0.92130694444444439</v>
      </c>
      <c r="J67" s="6"/>
      <c r="K67" s="6"/>
      <c r="L67" s="10">
        <v>0.26850000000000002</v>
      </c>
      <c r="M67" s="67">
        <f t="shared" ref="M67:M68" si="81">L67*B$3*(1+B$13)</f>
        <v>1.0807125</v>
      </c>
      <c r="N67" s="11">
        <v>3.8518518518518521E-2</v>
      </c>
      <c r="O67" s="113">
        <f t="shared" ref="O67:O68" si="82">N67*(1+B$16)</f>
        <v>4.4296296296296299E-2</v>
      </c>
      <c r="P67" s="67">
        <f t="shared" ref="P67:P68" si="83">O67*B$4*(1-B$7)+O67*B$6*(B$7)</f>
        <v>0.88592592592592601</v>
      </c>
      <c r="Q67" s="5">
        <f>I67-M67-P67</f>
        <v>-1.0453314814814816</v>
      </c>
      <c r="R67" s="5">
        <f>Q67*B$12</f>
        <v>-0.34495938888888894</v>
      </c>
      <c r="S67" s="5">
        <f>Q67-R67</f>
        <v>-0.7003720925925927</v>
      </c>
      <c r="T67" s="4"/>
      <c r="U67" s="5">
        <f>IF(U$15="Increase",IF(F67="y",0,IF($E67&gt;0,M67*$E67*(1+U$16),0)),IF(F67="y",0,IF($E67&gt;0,M67*$E67*(1-U$16),0)))</f>
        <v>0</v>
      </c>
      <c r="V67" s="5">
        <f t="shared" ref="V67:V68" si="84">IF(V$15="Increase",IF(F67="y",0,IF($E67&gt;0,(O67*B$4*(1-B$7))*$E67*(1+V$16),0)),IF(F67="y",0,IF($E67&gt;0,(O67*B$4*(1-B$7))*$E67*(1-V$16),0)))</f>
        <v>0</v>
      </c>
      <c r="W67" s="5">
        <f t="shared" ref="W67:W68" si="85">IF(W$15="Increase",IF(F67="y",0,IF($E67&gt;0,(O67*B$6*(B$7))*$E67*(1+W$16),0)),IF(F67="y",0,IF($E67&gt;0,(O67*B$6*(B$7))*$E67*(1-W$16),0)))</f>
        <v>0</v>
      </c>
      <c r="X67" s="5">
        <f>IF(X$15="Increase",IF(F67="y",0,IF($E67&gt;0,R67*$E67*(1+X$16),0)),IF(F67="y",0,IF($E67&gt;0,R67*$E67*(1-X$16),0)))</f>
        <v>0</v>
      </c>
      <c r="Y67" s="5">
        <f>IF(Y$15="Increase",IF(F67="y",0,IF($E67&gt;0,S67*$E67*(1+Y$16),0)),IF(F67="y",0,IF($E67&gt;0,S67*$E67*(1-Y$16),0)))</f>
        <v>0</v>
      </c>
      <c r="Z67" s="5">
        <f>IF(Z$15="Increase",IF(F67="y",I67*E67*(1+Z$16),0),IF(F67="y",I67*E67*(1-Z$16),0))</f>
        <v>0</v>
      </c>
    </row>
    <row r="68" spans="1:27" x14ac:dyDescent="0.2">
      <c r="A68" s="4" t="s">
        <v>46</v>
      </c>
      <c r="B68" s="4"/>
      <c r="C68" s="4"/>
      <c r="D68" s="4"/>
      <c r="E68" s="25"/>
      <c r="F68" s="26"/>
      <c r="G68" s="29"/>
      <c r="H68" s="6"/>
      <c r="I68" s="6">
        <f>IF(G68&gt;0,G68,H68-(L68*B$2*1.05)+M68-N68*12.5+P68)</f>
        <v>1.9071323232323232</v>
      </c>
      <c r="J68" s="6"/>
      <c r="K68" s="6"/>
      <c r="L68" s="10">
        <v>0.52800000000000002</v>
      </c>
      <c r="M68" s="67">
        <f t="shared" si="81"/>
        <v>2.1252</v>
      </c>
      <c r="N68" s="11">
        <v>8.4831649831649841E-2</v>
      </c>
      <c r="O68" s="113">
        <f t="shared" si="82"/>
        <v>9.7556397306397313E-2</v>
      </c>
      <c r="P68" s="67">
        <f t="shared" si="83"/>
        <v>1.9511279461279463</v>
      </c>
      <c r="Q68" s="5">
        <f>I68-M68-P68</f>
        <v>-2.1691956228956233</v>
      </c>
      <c r="R68" s="5">
        <f>Q68*B$12</f>
        <v>-0.71583455555555575</v>
      </c>
      <c r="S68" s="5">
        <f>Q68-R68</f>
        <v>-1.4533610673400674</v>
      </c>
      <c r="T68" s="4"/>
      <c r="U68" s="5">
        <f>IF(U$15="Increase",IF(F68="y",0,IF($E68&gt;0,M68*$E68*(1+U$16),0)),IF(F68="y",0,IF($E68&gt;0,M68*$E68*(1-U$16),0)))</f>
        <v>0</v>
      </c>
      <c r="V68" s="5">
        <f t="shared" si="84"/>
        <v>0</v>
      </c>
      <c r="W68" s="5">
        <f t="shared" si="85"/>
        <v>0</v>
      </c>
      <c r="X68" s="5">
        <f>IF(X$15="Increase",IF(F68="y",0,IF($E68&gt;0,R68*$E68*(1+X$16),0)),IF(F68="y",0,IF($E68&gt;0,R68*$E68*(1-X$16),0)))</f>
        <v>0</v>
      </c>
      <c r="Y68" s="5">
        <f>IF(Y$15="Increase",IF(F68="y",0,IF($E68&gt;0,S68*$E68*(1+Y$16),0)),IF(F68="y",0,IF($E68&gt;0,S68*$E68*(1-Y$16),0)))</f>
        <v>0</v>
      </c>
      <c r="Z68" s="5">
        <f>IF(Z$15="Increase",IF(F68="y",I68*E68*(1+Z$16),0),IF(F68="y",I68*E68*(1-Z$16),0))</f>
        <v>0</v>
      </c>
    </row>
    <row r="69" spans="1:27" x14ac:dyDescent="0.2">
      <c r="A69" s="4"/>
      <c r="B69" s="4"/>
      <c r="C69" s="4"/>
      <c r="D69" s="4"/>
      <c r="E69" s="25"/>
      <c r="F69" s="26"/>
      <c r="G69" s="29"/>
      <c r="H69" s="6"/>
      <c r="I69" s="6"/>
      <c r="J69" s="6"/>
      <c r="K69" s="6"/>
      <c r="L69" s="10"/>
      <c r="M69" s="5"/>
      <c r="N69" s="11"/>
      <c r="O69" s="11"/>
      <c r="P69" s="5"/>
      <c r="Q69" s="5"/>
      <c r="R69" s="5"/>
      <c r="S69" s="5"/>
      <c r="T69" s="4"/>
      <c r="U69" s="5"/>
      <c r="V69" s="5"/>
      <c r="W69" s="5"/>
      <c r="X69" s="5"/>
      <c r="Y69" s="5"/>
      <c r="Z69" s="5"/>
    </row>
    <row r="70" spans="1:27" x14ac:dyDescent="0.2">
      <c r="A70" s="9" t="s">
        <v>279</v>
      </c>
      <c r="B70" s="4"/>
      <c r="C70" s="4"/>
      <c r="D70" s="4"/>
      <c r="E70" s="99"/>
      <c r="F70" s="98"/>
      <c r="G70" s="78"/>
      <c r="H70" s="6"/>
      <c r="I70" s="6"/>
      <c r="J70" s="6"/>
      <c r="K70" s="6"/>
      <c r="L70" s="10"/>
      <c r="M70" s="5"/>
      <c r="N70" s="11"/>
      <c r="O70" s="11"/>
      <c r="P70" s="5"/>
      <c r="Q70" s="5"/>
      <c r="R70" s="5"/>
      <c r="S70" s="5"/>
      <c r="T70" s="4"/>
      <c r="U70" s="5"/>
      <c r="V70" s="5"/>
      <c r="W70" s="5"/>
      <c r="X70" s="5"/>
      <c r="Y70" s="5"/>
      <c r="Z70" s="5"/>
    </row>
    <row r="71" spans="1:27" x14ac:dyDescent="0.2">
      <c r="A71" s="19" t="s">
        <v>278</v>
      </c>
      <c r="B71" s="4"/>
      <c r="C71" s="4"/>
      <c r="D71" s="4"/>
      <c r="E71" s="99"/>
      <c r="F71" s="98"/>
      <c r="G71" s="78"/>
      <c r="H71" s="6"/>
      <c r="I71" s="6"/>
      <c r="J71" s="6"/>
      <c r="K71" s="6"/>
      <c r="L71" s="10"/>
      <c r="M71" s="5"/>
      <c r="N71" s="11"/>
      <c r="O71" s="11"/>
      <c r="P71" s="5"/>
      <c r="Q71" s="5"/>
      <c r="R71" s="5"/>
      <c r="S71" s="5"/>
      <c r="T71" s="4"/>
      <c r="U71" s="5"/>
      <c r="V71" s="5">
        <f>B4*(1-B7)*B15</f>
        <v>15</v>
      </c>
      <c r="W71" s="5">
        <f>B6*B7*B15</f>
        <v>0</v>
      </c>
      <c r="X71" s="5"/>
      <c r="Y71" s="5"/>
      <c r="Z71" s="5"/>
    </row>
    <row r="72" spans="1:27" s="54" customFormat="1" x14ac:dyDescent="0.2">
      <c r="A72" s="66"/>
      <c r="B72" s="65"/>
      <c r="C72" s="65"/>
      <c r="D72" s="65"/>
      <c r="E72" s="144"/>
      <c r="F72" s="145"/>
      <c r="G72" s="146"/>
      <c r="H72" s="111"/>
      <c r="I72" s="111"/>
      <c r="J72" s="111"/>
      <c r="K72" s="111"/>
      <c r="L72" s="143"/>
      <c r="M72" s="67"/>
      <c r="N72" s="113"/>
      <c r="O72" s="113"/>
      <c r="P72" s="67"/>
      <c r="Q72" s="67"/>
      <c r="R72" s="67"/>
      <c r="S72" s="67"/>
      <c r="T72" s="65"/>
      <c r="U72" s="67">
        <f>'Machinery(Soybeans)'!C37*'Machinery(Soybeans)'!C5</f>
        <v>1.2249999999999999</v>
      </c>
      <c r="V72" s="67"/>
      <c r="W72" s="67"/>
      <c r="X72" s="67"/>
      <c r="Y72" s="67"/>
      <c r="Z72" s="67"/>
    </row>
    <row r="73" spans="1:27" x14ac:dyDescent="0.2">
      <c r="A73" s="4"/>
      <c r="B73" s="4"/>
      <c r="C73" s="4"/>
      <c r="D73" s="4"/>
      <c r="E73" s="25"/>
      <c r="F73" s="26"/>
      <c r="G73" s="29"/>
      <c r="H73" s="6"/>
      <c r="I73" s="6"/>
      <c r="J73" s="6"/>
      <c r="K73" s="6"/>
      <c r="L73" s="10"/>
      <c r="M73" s="5"/>
      <c r="N73" s="11"/>
      <c r="O73" s="11"/>
      <c r="P73" s="5"/>
      <c r="Q73" s="5"/>
      <c r="R73" s="5"/>
      <c r="S73" s="5"/>
      <c r="T73" s="4"/>
      <c r="U73" s="5"/>
      <c r="V73" s="5"/>
      <c r="W73" s="5"/>
      <c r="X73" s="5"/>
      <c r="Y73" s="5"/>
      <c r="Z73" s="5"/>
    </row>
    <row r="74" spans="1:27" x14ac:dyDescent="0.2">
      <c r="A74" s="12" t="s">
        <v>83</v>
      </c>
      <c r="B74" s="12"/>
      <c r="C74" s="12"/>
      <c r="D74" s="12"/>
      <c r="E74" s="23"/>
      <c r="F74" s="24"/>
      <c r="G74" s="30"/>
      <c r="H74" s="4"/>
      <c r="I74" s="4"/>
      <c r="J74" s="4"/>
      <c r="K74" s="4"/>
      <c r="L74" s="4"/>
      <c r="M74" s="4"/>
      <c r="N74" s="4"/>
      <c r="O74" s="4"/>
      <c r="P74" s="4"/>
      <c r="Q74" s="4"/>
      <c r="R74" s="4"/>
      <c r="S74" s="4"/>
      <c r="T74" s="4"/>
      <c r="U74" s="14">
        <f t="shared" ref="U74:Z74" si="86">SUM(U20:U73)</f>
        <v>17.480222717109775</v>
      </c>
      <c r="V74" s="14">
        <f t="shared" si="86"/>
        <v>27.643348957977565</v>
      </c>
      <c r="W74" s="14">
        <f t="shared" si="86"/>
        <v>0</v>
      </c>
      <c r="X74" s="14">
        <f t="shared" si="86"/>
        <v>22.775900166370885</v>
      </c>
      <c r="Y74" s="14">
        <f t="shared" si="86"/>
        <v>46.241979125662098</v>
      </c>
      <c r="Z74" s="14">
        <f t="shared" si="86"/>
        <v>0</v>
      </c>
      <c r="AA74" s="15" t="s">
        <v>291</v>
      </c>
    </row>
    <row r="75" spans="1:27" s="8" customFormat="1" x14ac:dyDescent="0.2">
      <c r="A75" s="12" t="s">
        <v>129</v>
      </c>
      <c r="B75" s="12"/>
      <c r="C75" s="12"/>
      <c r="D75" s="12"/>
      <c r="E75" s="23"/>
      <c r="F75" s="24"/>
      <c r="G75" s="30"/>
      <c r="H75" s="12"/>
      <c r="I75" s="12"/>
      <c r="J75" s="12"/>
      <c r="K75" s="12"/>
      <c r="L75" s="12"/>
      <c r="M75" s="12"/>
      <c r="N75" s="12"/>
      <c r="O75" s="12"/>
      <c r="P75" s="12"/>
      <c r="Q75" s="12"/>
      <c r="R75" s="12"/>
      <c r="S75" s="12"/>
      <c r="T75" s="12"/>
      <c r="U75" s="14">
        <f>U74 - (U74/$Z76)*Soybeans!$J25</f>
        <v>17.480222717109775</v>
      </c>
      <c r="V75" s="14">
        <f>V74 - (V74/$Z76)*Soybeans!$J25</f>
        <v>27.643348957977565</v>
      </c>
      <c r="W75" s="14">
        <f>W74 - (W74/$Z76)*Soybeans!$J25</f>
        <v>0</v>
      </c>
      <c r="X75" s="14">
        <f>X74 - (X74/$Z76)*Soybeans!$J25</f>
        <v>22.775900166370885</v>
      </c>
      <c r="Y75" s="14">
        <f>Y74 - (Y74/$Z76)*Soybeans!$J25</f>
        <v>46.241979125662098</v>
      </c>
      <c r="Z75" s="14">
        <f>Soybeans!J25</f>
        <v>0</v>
      </c>
    </row>
    <row r="76" spans="1:27" x14ac:dyDescent="0.2">
      <c r="Z76" s="7">
        <f>SUM(U74:Z74)</f>
        <v>114.14145096712032</v>
      </c>
    </row>
    <row r="77" spans="1:27" x14ac:dyDescent="0.2">
      <c r="Z77" s="7">
        <f>SUM(U75:Z75)</f>
        <v>114.14145096712032</v>
      </c>
    </row>
    <row r="78" spans="1:27" x14ac:dyDescent="0.2">
      <c r="Z78" s="7"/>
    </row>
    <row r="79" spans="1:27" x14ac:dyDescent="0.2">
      <c r="A79" s="421" t="s">
        <v>102</v>
      </c>
      <c r="B79" s="422"/>
      <c r="C79" s="422"/>
      <c r="D79" s="422"/>
      <c r="E79" s="416"/>
      <c r="F79" s="4"/>
      <c r="G79" s="4"/>
      <c r="H79" s="4"/>
      <c r="I79" s="33">
        <f>IF(G51&gt;0,G51,Trucking!H26*Soybeans!E6)</f>
        <v>11.415359429651055</v>
      </c>
      <c r="J79" s="33"/>
      <c r="K79" s="33"/>
      <c r="L79" s="10">
        <f>((Soybeans!E6*Trucking!B26*2)*(1+Trucking!C4))/(Trucking!C3*Trucking!C2)</f>
        <v>0.69631578947368422</v>
      </c>
      <c r="M79" s="33">
        <f>L51*Trucking!C9</f>
        <v>2.6599263157894737</v>
      </c>
      <c r="N79" s="33"/>
      <c r="O79" s="143">
        <f>Soybeans!E6*((((B8*2)/Trucking!C7) + (Trucking!C5/60)))/Trucking!C2</f>
        <v>0.14526315789473684</v>
      </c>
      <c r="P79" s="33">
        <f>O51*B$4*(1-B$7)+O51*B$6*(B$7)</f>
        <v>2.905263157894737</v>
      </c>
      <c r="Q79" s="33"/>
      <c r="R79" s="33"/>
      <c r="S79" s="33"/>
      <c r="T79" s="33"/>
      <c r="U79" s="33">
        <f>IF(U$15="Increase",IF(F51="y",0,IF($B8&gt;0,M51*(1+U$16),0)),IF(F51="y",0,IF($B8&gt;0,M51*(1-U$16),0)))</f>
        <v>2.6599263157894737</v>
      </c>
      <c r="V79" s="33">
        <f>IF(V$15="Increase",IF(F51="y",0,IF($B8&gt;0,(O51*B$4*(1-B$7)*(1+V$16)),0)),IF(F51="y",0,IF($B8&gt;0,(O51*B$4*(1-B$7)*(1-V$16)),0)))</f>
        <v>2.905263157894737</v>
      </c>
      <c r="W79" s="33">
        <f>IF(W$15="Increase",IF(F51="y",0,IF($B8&gt;0,(O51*B$6*(B$7)*(1+W$16)),0)),IF(F51="y",0,IF($B8&gt;0,(O51*B$6*(B$7)*(1-W$16)),0)))</f>
        <v>0</v>
      </c>
      <c r="X79" s="33">
        <f>IF(X$15="Increase",IF(F51="y",0,IF($B8&gt;0,R51*(1+X$16),0)),IF(F51="y",0,IF($B8&gt;0,R51*(1-X$16),0)))</f>
        <v>1.9305560854690589</v>
      </c>
      <c r="Y79" s="33">
        <f>IF(Y$15="Increase",IF(F51="y",0,IF($B8&gt;0,S51*(1+Y$16),0)),IF(F51="y",0,IF($B8&gt;0,S51*(1-Y$16),0)))</f>
        <v>3.9196138704977859</v>
      </c>
      <c r="Z79" s="33">
        <f>IF(Soybeans!C76=Soybeans!C74,0,IF(Z$15="Increase",IF(F51="y",I51*(1+Z$16),0),IF(F51="y",I51*(1-Z$16),0)))</f>
        <v>0</v>
      </c>
      <c r="AA79" s="2">
        <f>SUM(U79:Z79)</f>
        <v>11.415359429651055</v>
      </c>
    </row>
  </sheetData>
  <mergeCells count="19">
    <mergeCell ref="A79:E79"/>
    <mergeCell ref="A51:E51"/>
    <mergeCell ref="H12:Z12"/>
    <mergeCell ref="U14:Z14"/>
    <mergeCell ref="H11:Z11"/>
    <mergeCell ref="A11:G11"/>
    <mergeCell ref="H9:Z9"/>
    <mergeCell ref="H10:Z10"/>
    <mergeCell ref="A1:Z1"/>
    <mergeCell ref="H14:T16"/>
    <mergeCell ref="A9:G9"/>
    <mergeCell ref="A10:G10"/>
    <mergeCell ref="D2:Z2"/>
    <mergeCell ref="D3:Z3"/>
    <mergeCell ref="D4:Z4"/>
    <mergeCell ref="D5:Z5"/>
    <mergeCell ref="D6:Z6"/>
    <mergeCell ref="D7:Z7"/>
    <mergeCell ref="D8:Z8"/>
  </mergeCells>
  <phoneticPr fontId="0" type="noConversion"/>
  <dataValidations count="1">
    <dataValidation type="list" allowBlank="1" showInputMessage="1" showErrorMessage="1" sqref="U15:Y15" xr:uid="{00000000-0002-0000-0900-000000000000}">
      <formula1>$U$82:$U$83</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43"/>
  <sheetViews>
    <sheetView showGridLines="0" workbookViewId="0">
      <selection activeCell="I6" sqref="I6"/>
    </sheetView>
  </sheetViews>
  <sheetFormatPr defaultColWidth="9.140625" defaultRowHeight="12.75" x14ac:dyDescent="0.2"/>
  <cols>
    <col min="1" max="2" width="3.7109375" customWidth="1"/>
    <col min="3" max="6" width="10.7109375" customWidth="1"/>
    <col min="7" max="7" width="20.7109375" customWidth="1"/>
    <col min="8" max="8" width="3.7109375" customWidth="1"/>
  </cols>
  <sheetData>
    <row r="2" spans="2:9" ht="15.75" x14ac:dyDescent="0.25">
      <c r="B2" s="461" t="str">
        <f>Soybeans!B2</f>
        <v>No-Till Soybeans, Per Acre Costs and Returns</v>
      </c>
      <c r="C2" s="479"/>
      <c r="D2" s="479"/>
      <c r="E2" s="479"/>
      <c r="F2" s="479"/>
      <c r="G2" s="479"/>
    </row>
    <row r="3" spans="2:9" ht="5.0999999999999996" customHeight="1" x14ac:dyDescent="0.2">
      <c r="B3" s="518"/>
      <c r="C3" s="519"/>
      <c r="D3" s="519"/>
      <c r="E3" s="519"/>
      <c r="F3" s="519"/>
      <c r="G3" s="520"/>
    </row>
    <row r="4" spans="2:9" ht="12.95" customHeight="1" x14ac:dyDescent="0.2">
      <c r="B4" s="521" t="s">
        <v>54</v>
      </c>
      <c r="C4" s="522"/>
      <c r="D4" s="522"/>
      <c r="E4" s="522"/>
      <c r="F4" s="523"/>
      <c r="G4" s="3" t="s">
        <v>5</v>
      </c>
    </row>
    <row r="5" spans="2:9" ht="12.95" customHeight="1" x14ac:dyDescent="0.2">
      <c r="B5" s="4"/>
      <c r="C5" s="19" t="s">
        <v>23</v>
      </c>
      <c r="D5" s="32">
        <f>Soybeans!E6</f>
        <v>54</v>
      </c>
      <c r="E5" s="105" t="str">
        <f>Soybeans!F6</f>
        <v>bu</v>
      </c>
      <c r="F5" s="79">
        <f>Soybeans!G6</f>
        <v>12.75</v>
      </c>
      <c r="G5" s="295">
        <f>Soybeans!J6</f>
        <v>688.5</v>
      </c>
      <c r="I5" s="15"/>
    </row>
    <row r="6" spans="2:9" ht="12.95" customHeight="1" x14ac:dyDescent="0.2">
      <c r="B6" s="4"/>
      <c r="C6" s="460" t="s">
        <v>158</v>
      </c>
      <c r="D6" s="430"/>
      <c r="E6" s="430"/>
      <c r="F6" s="431"/>
      <c r="G6" s="295">
        <f>Soybeans!J7</f>
        <v>0</v>
      </c>
    </row>
    <row r="7" spans="2:9" ht="12.95" customHeight="1" x14ac:dyDescent="0.2">
      <c r="B7" s="4"/>
      <c r="C7" s="460" t="s">
        <v>157</v>
      </c>
      <c r="D7" s="430"/>
      <c r="E7" s="430"/>
      <c r="F7" s="431"/>
      <c r="G7" s="296">
        <f>Soybeans!J8</f>
        <v>5</v>
      </c>
    </row>
    <row r="8" spans="2:9" ht="12.95" customHeight="1" x14ac:dyDescent="0.2">
      <c r="B8" s="521" t="s">
        <v>74</v>
      </c>
      <c r="C8" s="522"/>
      <c r="D8" s="522"/>
      <c r="E8" s="522"/>
      <c r="F8" s="523"/>
      <c r="G8" s="220">
        <f>SUM(G5:G7)</f>
        <v>693.5</v>
      </c>
      <c r="I8" s="224"/>
    </row>
    <row r="9" spans="2:9" ht="5.0999999999999996" customHeight="1" x14ac:dyDescent="0.2">
      <c r="B9" s="518"/>
      <c r="C9" s="519"/>
      <c r="D9" s="519"/>
      <c r="E9" s="519"/>
      <c r="F9" s="519"/>
      <c r="G9" s="520"/>
    </row>
    <row r="10" spans="2:9" ht="12.95" customHeight="1" x14ac:dyDescent="0.2">
      <c r="B10" s="521" t="s">
        <v>56</v>
      </c>
      <c r="C10" s="522"/>
      <c r="D10" s="522"/>
      <c r="E10" s="522"/>
      <c r="F10" s="523"/>
      <c r="G10" s="3" t="s">
        <v>5</v>
      </c>
    </row>
    <row r="11" spans="2:9" ht="12.95" customHeight="1" x14ac:dyDescent="0.2">
      <c r="B11" s="4"/>
      <c r="C11" s="524" t="s">
        <v>57</v>
      </c>
      <c r="D11" s="525"/>
      <c r="E11" s="525"/>
      <c r="F11" s="526"/>
      <c r="G11" s="295">
        <f>Soybeans!J12</f>
        <v>70</v>
      </c>
      <c r="I11" s="224"/>
    </row>
    <row r="12" spans="2:9" ht="12.95" customHeight="1" x14ac:dyDescent="0.2">
      <c r="B12" s="4"/>
      <c r="C12" s="429" t="s">
        <v>416</v>
      </c>
      <c r="D12" s="474"/>
      <c r="E12" s="474"/>
      <c r="F12" s="474"/>
      <c r="G12" s="295">
        <f>Soybeans!J13</f>
        <v>0</v>
      </c>
      <c r="I12" s="224"/>
    </row>
    <row r="13" spans="2:9" ht="12.95" customHeight="1" x14ac:dyDescent="0.2">
      <c r="B13" s="4"/>
      <c r="C13" s="429" t="s">
        <v>417</v>
      </c>
      <c r="D13" s="474"/>
      <c r="E13" s="474"/>
      <c r="F13" s="474"/>
      <c r="G13" s="295">
        <f>SUM(Soybeans!J14:J17)</f>
        <v>64.5</v>
      </c>
      <c r="I13" s="224"/>
    </row>
    <row r="14" spans="2:9" ht="12.95" customHeight="1" x14ac:dyDescent="0.2">
      <c r="B14" s="4"/>
      <c r="C14" s="524" t="s">
        <v>321</v>
      </c>
      <c r="D14" s="525"/>
      <c r="E14" s="525"/>
      <c r="F14" s="526"/>
      <c r="G14" s="295">
        <f>SUM(Soybeans!J18:J20)</f>
        <v>70</v>
      </c>
    </row>
    <row r="15" spans="2:9" ht="12.95" customHeight="1" x14ac:dyDescent="0.2">
      <c r="B15" s="4"/>
      <c r="C15" s="524" t="s">
        <v>322</v>
      </c>
      <c r="D15" s="525"/>
      <c r="E15" s="525"/>
      <c r="F15" s="526"/>
      <c r="G15" s="295">
        <f>SUM(Soybeans!J21:J22,Soybeans!J25,Soybeans!J28)</f>
        <v>40.256122883480657</v>
      </c>
      <c r="I15" s="224" t="s">
        <v>338</v>
      </c>
    </row>
    <row r="16" spans="2:9" ht="12.95" customHeight="1" x14ac:dyDescent="0.2">
      <c r="B16" s="4"/>
      <c r="C16" s="524" t="s">
        <v>323</v>
      </c>
      <c r="D16" s="525"/>
      <c r="E16" s="525"/>
      <c r="F16" s="526"/>
      <c r="G16" s="295">
        <f>SUM(Soybeans!J23:J24)</f>
        <v>27.643348957977565</v>
      </c>
      <c r="I16" s="224" t="s">
        <v>339</v>
      </c>
    </row>
    <row r="17" spans="2:7" ht="12.95" customHeight="1" x14ac:dyDescent="0.2">
      <c r="B17" s="4"/>
      <c r="C17" s="460" t="s">
        <v>280</v>
      </c>
      <c r="D17" s="430"/>
      <c r="E17" s="430"/>
      <c r="F17" s="526"/>
      <c r="G17" s="295">
        <f>SUM(Soybeans!J26:J27)</f>
        <v>0</v>
      </c>
    </row>
    <row r="18" spans="2:7" ht="12.95" customHeight="1" x14ac:dyDescent="0.2">
      <c r="B18" s="4"/>
      <c r="C18" s="460" t="s">
        <v>148</v>
      </c>
      <c r="D18" s="430"/>
      <c r="E18" s="430"/>
      <c r="F18" s="431"/>
      <c r="G18" s="295">
        <f>Soybeans!J29</f>
        <v>0</v>
      </c>
    </row>
    <row r="19" spans="2:7" ht="12.95" customHeight="1" x14ac:dyDescent="0.2">
      <c r="B19" s="4"/>
      <c r="C19" s="524" t="s">
        <v>215</v>
      </c>
      <c r="D19" s="525"/>
      <c r="E19" s="525"/>
      <c r="F19" s="526"/>
      <c r="G19" s="295">
        <f>Soybeans!J30</f>
        <v>2.4468750000000008</v>
      </c>
    </row>
    <row r="20" spans="2:7" ht="12.95" customHeight="1" x14ac:dyDescent="0.2">
      <c r="B20" s="4"/>
      <c r="C20" s="524" t="s">
        <v>324</v>
      </c>
      <c r="D20" s="525"/>
      <c r="E20" s="525"/>
      <c r="F20" s="526"/>
      <c r="G20" s="295">
        <f>Soybeans!J31</f>
        <v>20</v>
      </c>
    </row>
    <row r="21" spans="2:7" ht="12.95" customHeight="1" x14ac:dyDescent="0.2">
      <c r="B21" s="4"/>
      <c r="C21" s="524" t="s">
        <v>242</v>
      </c>
      <c r="D21" s="525"/>
      <c r="E21" s="525"/>
      <c r="F21" s="526"/>
      <c r="G21" s="295">
        <f>Soybeans!J32</f>
        <v>200</v>
      </c>
    </row>
    <row r="22" spans="2:7" ht="12.95" customHeight="1" x14ac:dyDescent="0.2">
      <c r="B22" s="4"/>
      <c r="C22" s="524" t="s">
        <v>333</v>
      </c>
      <c r="D22" s="525"/>
      <c r="E22" s="525"/>
      <c r="F22" s="526"/>
      <c r="G22" s="295">
        <f>Soybeans!J33</f>
        <v>0</v>
      </c>
    </row>
    <row r="23" spans="2:7" ht="12.95" customHeight="1" x14ac:dyDescent="0.2">
      <c r="B23" s="4"/>
      <c r="C23" s="524" t="s">
        <v>150</v>
      </c>
      <c r="D23" s="525"/>
      <c r="E23" s="525"/>
      <c r="F23" s="526"/>
      <c r="G23" s="295">
        <f>Soybeans!J34</f>
        <v>10</v>
      </c>
    </row>
    <row r="24" spans="2:7" ht="12.95" customHeight="1" x14ac:dyDescent="0.2">
      <c r="B24" s="4"/>
      <c r="C24" s="524" t="s">
        <v>61</v>
      </c>
      <c r="D24" s="525"/>
      <c r="E24" s="525"/>
      <c r="F24" s="526"/>
      <c r="G24" s="296">
        <f>Soybeans!J35</f>
        <v>16.581730386339007</v>
      </c>
    </row>
    <row r="25" spans="2:7" ht="12.95" customHeight="1" x14ac:dyDescent="0.2">
      <c r="B25" s="521" t="s">
        <v>63</v>
      </c>
      <c r="C25" s="522"/>
      <c r="D25" s="522"/>
      <c r="E25" s="522"/>
      <c r="F25" s="523"/>
      <c r="G25" s="220">
        <f>SUM(G11:G24)</f>
        <v>521.42807722779719</v>
      </c>
    </row>
    <row r="26" spans="2:7" ht="5.0999999999999996" customHeight="1" x14ac:dyDescent="0.2">
      <c r="B26" s="518"/>
      <c r="C26" s="519"/>
      <c r="D26" s="519"/>
      <c r="E26" s="519"/>
      <c r="F26" s="519"/>
      <c r="G26" s="520"/>
    </row>
    <row r="27" spans="2:7" ht="15.75" x14ac:dyDescent="0.25">
      <c r="B27" s="527" t="s">
        <v>64</v>
      </c>
      <c r="C27" s="528"/>
      <c r="D27" s="528"/>
      <c r="E27" s="528"/>
      <c r="F27" s="528"/>
      <c r="G27" s="297">
        <f>G8-G25</f>
        <v>172.07192277220281</v>
      </c>
    </row>
    <row r="28" spans="2:7" ht="12.95" customHeight="1" x14ac:dyDescent="0.2">
      <c r="B28" s="518"/>
      <c r="C28" s="519"/>
      <c r="D28" s="519"/>
      <c r="E28" s="519"/>
      <c r="F28" s="519"/>
      <c r="G28" s="520"/>
    </row>
    <row r="29" spans="2:7" ht="12.95" customHeight="1" x14ac:dyDescent="0.2">
      <c r="B29" s="521" t="s">
        <v>65</v>
      </c>
      <c r="C29" s="522"/>
      <c r="D29" s="522"/>
      <c r="E29" s="522"/>
      <c r="F29" s="523"/>
      <c r="G29" s="3" t="s">
        <v>5</v>
      </c>
    </row>
    <row r="30" spans="2:7" ht="12.95" customHeight="1" x14ac:dyDescent="0.2">
      <c r="B30" s="4"/>
      <c r="C30" s="524" t="s">
        <v>325</v>
      </c>
      <c r="D30" s="525"/>
      <c r="E30" s="525"/>
      <c r="F30" s="526"/>
      <c r="G30" s="295">
        <f>Soybeans!J41</f>
        <v>0</v>
      </c>
    </row>
    <row r="31" spans="2:7" ht="12.95" customHeight="1" x14ac:dyDescent="0.2">
      <c r="B31" s="4"/>
      <c r="C31" s="460" t="s">
        <v>326</v>
      </c>
      <c r="D31" s="430"/>
      <c r="E31" s="430"/>
      <c r="F31" s="526"/>
      <c r="G31" s="295">
        <f>Soybeans!J42</f>
        <v>46.241979125662098</v>
      </c>
    </row>
    <row r="32" spans="2:7" ht="12.95" customHeight="1" x14ac:dyDescent="0.2">
      <c r="B32" s="4"/>
      <c r="C32" s="524" t="s">
        <v>149</v>
      </c>
      <c r="D32" s="525"/>
      <c r="E32" s="525"/>
      <c r="F32" s="526"/>
      <c r="G32" s="296">
        <f>SUM(Soybeans!J43:J44)</f>
        <v>15</v>
      </c>
    </row>
    <row r="33" spans="2:11" ht="15.75" x14ac:dyDescent="0.25">
      <c r="B33" s="527" t="s">
        <v>66</v>
      </c>
      <c r="C33" s="528"/>
      <c r="D33" s="528"/>
      <c r="E33" s="528"/>
      <c r="F33" s="528"/>
      <c r="G33" s="297">
        <f>G27-(SUM(G30:G32))</f>
        <v>110.82994364654071</v>
      </c>
    </row>
    <row r="34" spans="2:11" ht="12.95" customHeight="1" x14ac:dyDescent="0.2">
      <c r="B34" s="518"/>
      <c r="C34" s="519"/>
      <c r="D34" s="519"/>
      <c r="E34" s="519"/>
      <c r="F34" s="519"/>
      <c r="G34" s="520"/>
    </row>
    <row r="35" spans="2:11" ht="15.75" x14ac:dyDescent="0.25">
      <c r="B35" s="476" t="str">
        <f>"Breakeven Yield: Variable Costs at " &amp; TEXT(Soybeans!G6,"$0.00") &amp;" /bushel"</f>
        <v>Breakeven Yield: Variable Costs at $12.75 /bushel</v>
      </c>
      <c r="C35" s="477"/>
      <c r="D35" s="477"/>
      <c r="E35" s="477"/>
      <c r="F35" s="478"/>
      <c r="G35" s="298">
        <f>Soybeans!E47</f>
        <v>40.896319782572327</v>
      </c>
      <c r="I35" s="260" t="s">
        <v>422</v>
      </c>
      <c r="J35" s="224"/>
      <c r="K35" s="224"/>
    </row>
    <row r="36" spans="2:11" ht="15.75" x14ac:dyDescent="0.25">
      <c r="B36" s="476" t="str">
        <f>"Breakeven Price: Variable Costs at " &amp; ROUND(Soybeans!E6,0) &amp;" bu/acre"</f>
        <v>Breakeven Price: Variable Costs at 54 bu/acre</v>
      </c>
      <c r="C36" s="477"/>
      <c r="D36" s="477"/>
      <c r="E36" s="477"/>
      <c r="F36" s="478"/>
      <c r="G36" s="299">
        <f>Soybeans!E48</f>
        <v>9.6560755042184656</v>
      </c>
      <c r="I36" s="260" t="s">
        <v>427</v>
      </c>
      <c r="J36" s="224"/>
      <c r="K36" s="224"/>
    </row>
    <row r="37" spans="2:11" ht="15.75" x14ac:dyDescent="0.25">
      <c r="B37" s="476" t="str">
        <f>"Breakeven Price: All Costs at " &amp; ROUND(Soybeans!E6,0) &amp;" bu/acre"</f>
        <v>Breakeven Price: All Costs at 54 bu/acre</v>
      </c>
      <c r="C37" s="477"/>
      <c r="D37" s="477"/>
      <c r="E37" s="477"/>
      <c r="F37" s="478"/>
      <c r="G37" s="299">
        <f>Soybeans!E49</f>
        <v>10.790186228767764</v>
      </c>
      <c r="I37" s="260" t="s">
        <v>429</v>
      </c>
      <c r="J37" s="224"/>
      <c r="K37" s="224"/>
    </row>
    <row r="38" spans="2:11" x14ac:dyDescent="0.2">
      <c r="B38" s="483"/>
      <c r="C38" s="483"/>
      <c r="D38" s="483"/>
      <c r="E38" s="483"/>
      <c r="F38" s="483"/>
      <c r="G38" s="483"/>
    </row>
    <row r="39" spans="2:11" ht="12.75" customHeight="1" x14ac:dyDescent="0.2">
      <c r="B39" s="484"/>
      <c r="C39" s="484"/>
      <c r="D39" s="484"/>
      <c r="E39" s="484"/>
      <c r="F39" s="484"/>
      <c r="G39" s="484"/>
      <c r="H39" s="484"/>
      <c r="I39" s="484"/>
    </row>
    <row r="40" spans="2:11" ht="12.75" customHeight="1" x14ac:dyDescent="0.2">
      <c r="B40" s="482"/>
      <c r="C40" s="483"/>
      <c r="D40" s="483"/>
      <c r="E40" s="483"/>
      <c r="F40" s="483"/>
      <c r="G40" s="483"/>
      <c r="H40" s="483"/>
      <c r="I40" s="483"/>
    </row>
    <row r="41" spans="2:11" ht="12.75" customHeight="1" x14ac:dyDescent="0.2">
      <c r="B41" s="482"/>
      <c r="C41" s="483"/>
      <c r="D41" s="483"/>
      <c r="E41" s="483"/>
      <c r="F41" s="483"/>
      <c r="G41" s="483"/>
      <c r="H41" s="483"/>
      <c r="I41" s="483"/>
    </row>
    <row r="42" spans="2:11" ht="12.75" customHeight="1" x14ac:dyDescent="0.2">
      <c r="B42" s="482"/>
      <c r="C42" s="483"/>
      <c r="D42" s="483"/>
      <c r="E42" s="483"/>
      <c r="F42" s="483"/>
      <c r="G42" s="483"/>
      <c r="H42" s="483"/>
      <c r="I42" s="483"/>
    </row>
    <row r="43" spans="2:11" ht="14.25" x14ac:dyDescent="0.2">
      <c r="B43" s="482"/>
      <c r="C43" s="483"/>
      <c r="D43" s="483"/>
      <c r="E43" s="483"/>
      <c r="F43" s="483"/>
      <c r="G43" s="483"/>
    </row>
  </sheetData>
  <sheetProtection algorithmName="SHA-512" hashValue="PT1wxqJiKFYeaiViFqoD+xD6SITb2ByzZj1tp9lmoLTTBIqB7vTtkLzrX+CJlpgZcWdoBD5hTA24Ywg0JAZo1A==" saltValue="/m1QWxnzEgp8GBA0UWJEog==" spinCount="100000" sheet="1" objects="1" scenarios="1" formatCells="0" formatColumns="0" formatRows="0"/>
  <mergeCells count="41">
    <mergeCell ref="B38:G38"/>
    <mergeCell ref="B35:F35"/>
    <mergeCell ref="B36:F36"/>
    <mergeCell ref="B37:F37"/>
    <mergeCell ref="C30:F30"/>
    <mergeCell ref="C31:F31"/>
    <mergeCell ref="C32:F32"/>
    <mergeCell ref="B33:F33"/>
    <mergeCell ref="B34:G34"/>
    <mergeCell ref="B43:G43"/>
    <mergeCell ref="B39:I39"/>
    <mergeCell ref="B40:I40"/>
    <mergeCell ref="B41:I41"/>
    <mergeCell ref="B42:I42"/>
    <mergeCell ref="B27:F27"/>
    <mergeCell ref="B28:G28"/>
    <mergeCell ref="B29:F29"/>
    <mergeCell ref="C19:F19"/>
    <mergeCell ref="C20:F20"/>
    <mergeCell ref="C21:F21"/>
    <mergeCell ref="C23:F23"/>
    <mergeCell ref="C24:F24"/>
    <mergeCell ref="C22:F22"/>
    <mergeCell ref="B25:F25"/>
    <mergeCell ref="C17:F17"/>
    <mergeCell ref="B10:F10"/>
    <mergeCell ref="C11:F11"/>
    <mergeCell ref="C12:F12"/>
    <mergeCell ref="B26:G26"/>
    <mergeCell ref="C18:F18"/>
    <mergeCell ref="C13:F13"/>
    <mergeCell ref="B8:F8"/>
    <mergeCell ref="B9:G9"/>
    <mergeCell ref="C14:F14"/>
    <mergeCell ref="C15:F15"/>
    <mergeCell ref="C16:F16"/>
    <mergeCell ref="B2:G2"/>
    <mergeCell ref="B3:G3"/>
    <mergeCell ref="B4:F4"/>
    <mergeCell ref="C6:F6"/>
    <mergeCell ref="C7:F7"/>
  </mergeCells>
  <dataValidations count="1">
    <dataValidation type="list" allowBlank="1" showInputMessage="1" showErrorMessage="1" sqref="F21:F22 F19" xr:uid="{00000000-0002-0000-0A00-000000000000}">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77" id="{9F3B149A-3A08-4C78-BC30-77E0AE71ACAC}">
            <xm:f>Soybeans!$C$76=Soybeans!$C$73</xm:f>
            <x14:dxf>
              <font>
                <color theme="0"/>
              </font>
            </x14:dxf>
          </x14:cfRule>
          <xm:sqref>C17:G17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17"/>
  <sheetViews>
    <sheetView workbookViewId="0">
      <selection activeCell="I10" sqref="I10"/>
    </sheetView>
  </sheetViews>
  <sheetFormatPr defaultRowHeight="12.75" x14ac:dyDescent="0.2"/>
  <sheetData>
    <row r="2" spans="2:9" ht="51" x14ac:dyDescent="0.2">
      <c r="B2" s="134" t="str">
        <f>"Corn Yield at "&amp;TEXT(Corn!G6,"$0.00")&amp;"/bu"</f>
        <v>Corn Yield at $5.40/bu</v>
      </c>
      <c r="C2" s="134" t="s">
        <v>381</v>
      </c>
      <c r="D2" s="138" t="s">
        <v>66</v>
      </c>
      <c r="E2" s="137" t="str">
        <f>"$/Bushel Yield of "&amp;Corn!E6&amp;" bu/acre"</f>
        <v>$/Bushel Yield of 170 bu/acre</v>
      </c>
      <c r="F2" s="134" t="s">
        <v>381</v>
      </c>
      <c r="G2" s="134" t="s">
        <v>66</v>
      </c>
    </row>
    <row r="3" spans="2:9" x14ac:dyDescent="0.2">
      <c r="B3" s="105">
        <v>190</v>
      </c>
      <c r="C3" s="105"/>
      <c r="D3" s="140"/>
      <c r="E3" s="139">
        <v>4</v>
      </c>
      <c r="F3" s="105"/>
      <c r="G3" s="4"/>
      <c r="I3" s="15" t="s">
        <v>384</v>
      </c>
    </row>
    <row r="4" spans="2:9" x14ac:dyDescent="0.2">
      <c r="B4" s="105">
        <v>180</v>
      </c>
      <c r="C4" s="105"/>
      <c r="D4" s="140"/>
      <c r="E4" s="139">
        <v>3.8</v>
      </c>
      <c r="F4" s="105"/>
      <c r="G4" s="4"/>
      <c r="I4" s="15" t="s">
        <v>385</v>
      </c>
    </row>
    <row r="5" spans="2:9" x14ac:dyDescent="0.2">
      <c r="B5" s="135">
        <v>170</v>
      </c>
      <c r="C5" s="135"/>
      <c r="D5" s="142"/>
      <c r="E5" s="141">
        <v>3.6</v>
      </c>
      <c r="F5" s="135"/>
      <c r="G5" s="136"/>
      <c r="I5" s="15" t="s">
        <v>386</v>
      </c>
    </row>
    <row r="6" spans="2:9" x14ac:dyDescent="0.2">
      <c r="B6" s="105">
        <v>160</v>
      </c>
      <c r="C6" s="105"/>
      <c r="D6" s="140"/>
      <c r="E6" s="139">
        <v>3.4</v>
      </c>
      <c r="F6" s="105"/>
      <c r="G6" s="4"/>
      <c r="I6" s="15" t="s">
        <v>215</v>
      </c>
    </row>
    <row r="7" spans="2:9" x14ac:dyDescent="0.2">
      <c r="B7" s="105">
        <v>150</v>
      </c>
      <c r="C7" s="105"/>
      <c r="D7" s="140"/>
      <c r="E7" s="139">
        <v>3.2</v>
      </c>
      <c r="F7" s="105"/>
      <c r="G7" s="4"/>
      <c r="I7" s="15" t="s">
        <v>387</v>
      </c>
    </row>
    <row r="8" spans="2:9" x14ac:dyDescent="0.2">
      <c r="I8" s="15" t="s">
        <v>388</v>
      </c>
    </row>
    <row r="9" spans="2:9" x14ac:dyDescent="0.2">
      <c r="I9" s="15" t="s">
        <v>389</v>
      </c>
    </row>
    <row r="12" spans="2:9" ht="51" x14ac:dyDescent="0.2">
      <c r="B12" s="134" t="str">
        <f>"Soybean Yield at "&amp;TEXT(Soybeans!G6,"$0.00")&amp;"/bu"</f>
        <v>Soybean Yield at $12.75/bu</v>
      </c>
      <c r="C12" s="134" t="s">
        <v>381</v>
      </c>
      <c r="D12" s="138" t="s">
        <v>66</v>
      </c>
      <c r="E12" s="137" t="str">
        <f>"$/Bushel Yield of "&amp;Soybeans!E6&amp;" bu/acre"</f>
        <v>$/Bushel Yield of 54 bu/acre</v>
      </c>
      <c r="F12" s="134" t="s">
        <v>381</v>
      </c>
      <c r="G12" s="134" t="s">
        <v>66</v>
      </c>
    </row>
    <row r="13" spans="2:9" x14ac:dyDescent="0.2">
      <c r="B13" s="105">
        <v>60</v>
      </c>
      <c r="C13" s="105"/>
      <c r="D13" s="140"/>
      <c r="E13" s="139">
        <v>10.199999999999999</v>
      </c>
      <c r="F13" s="105"/>
      <c r="G13" s="4"/>
    </row>
    <row r="14" spans="2:9" x14ac:dyDescent="0.2">
      <c r="B14" s="105">
        <v>55</v>
      </c>
      <c r="C14" s="105"/>
      <c r="D14" s="140"/>
      <c r="E14" s="139">
        <v>10</v>
      </c>
      <c r="F14" s="105"/>
      <c r="G14" s="4"/>
    </row>
    <row r="15" spans="2:9" x14ac:dyDescent="0.2">
      <c r="B15" s="135">
        <v>50</v>
      </c>
      <c r="C15" s="135"/>
      <c r="D15" s="142"/>
      <c r="E15" s="141">
        <v>9.8000000000000007</v>
      </c>
      <c r="F15" s="135"/>
      <c r="G15" s="136"/>
    </row>
    <row r="16" spans="2:9" x14ac:dyDescent="0.2">
      <c r="B16" s="105">
        <v>45</v>
      </c>
      <c r="C16" s="105"/>
      <c r="D16" s="140"/>
      <c r="E16" s="139">
        <v>9.6</v>
      </c>
      <c r="F16" s="105"/>
      <c r="G16" s="4"/>
    </row>
    <row r="17" spans="2:7" x14ac:dyDescent="0.2">
      <c r="B17" s="105">
        <v>40</v>
      </c>
      <c r="C17" s="105"/>
      <c r="D17" s="140"/>
      <c r="E17" s="139">
        <v>9.4</v>
      </c>
      <c r="F17" s="105"/>
      <c r="G17" s="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B27"/>
  <sheetViews>
    <sheetView workbookViewId="0">
      <selection activeCell="B29" sqref="B29"/>
    </sheetView>
  </sheetViews>
  <sheetFormatPr defaultRowHeight="12.75" x14ac:dyDescent="0.2"/>
  <cols>
    <col min="1" max="1" width="16.42578125" customWidth="1"/>
    <col min="2" max="2" width="134.7109375" customWidth="1"/>
  </cols>
  <sheetData>
    <row r="3" spans="1:2" x14ac:dyDescent="0.2">
      <c r="A3" t="s">
        <v>358</v>
      </c>
    </row>
    <row r="4" spans="1:2" x14ac:dyDescent="0.2">
      <c r="B4" t="s">
        <v>390</v>
      </c>
    </row>
    <row r="5" spans="1:2" x14ac:dyDescent="0.2">
      <c r="B5" t="s">
        <v>359</v>
      </c>
    </row>
    <row r="6" spans="1:2" x14ac:dyDescent="0.2">
      <c r="B6" t="s">
        <v>360</v>
      </c>
    </row>
    <row r="8" spans="1:2" x14ac:dyDescent="0.2">
      <c r="B8" t="s">
        <v>361</v>
      </c>
    </row>
    <row r="10" spans="1:2" x14ac:dyDescent="0.2">
      <c r="B10" s="15" t="s">
        <v>391</v>
      </c>
    </row>
    <row r="11" spans="1:2" x14ac:dyDescent="0.2">
      <c r="B11" s="15"/>
    </row>
    <row r="12" spans="1:2" x14ac:dyDescent="0.2">
      <c r="B12" s="15" t="s">
        <v>392</v>
      </c>
    </row>
    <row r="15" spans="1:2" x14ac:dyDescent="0.2">
      <c r="A15" t="s">
        <v>362</v>
      </c>
    </row>
    <row r="16" spans="1:2" x14ac:dyDescent="0.2">
      <c r="B16" t="s">
        <v>365</v>
      </c>
    </row>
    <row r="17" spans="2:2" x14ac:dyDescent="0.2">
      <c r="B17" t="s">
        <v>363</v>
      </c>
    </row>
    <row r="18" spans="2:2" x14ac:dyDescent="0.2">
      <c r="B18" t="s">
        <v>364</v>
      </c>
    </row>
    <row r="20" spans="2:2" x14ac:dyDescent="0.2">
      <c r="B20" t="s">
        <v>397</v>
      </c>
    </row>
    <row r="22" spans="2:2" x14ac:dyDescent="0.2">
      <c r="B22" t="s">
        <v>400</v>
      </c>
    </row>
    <row r="23" spans="2:2" x14ac:dyDescent="0.2">
      <c r="B23" t="s">
        <v>394</v>
      </c>
    </row>
    <row r="24" spans="2:2" x14ac:dyDescent="0.2">
      <c r="B24" t="s">
        <v>398</v>
      </c>
    </row>
    <row r="25" spans="2:2" x14ac:dyDescent="0.2">
      <c r="B25" t="s">
        <v>395</v>
      </c>
    </row>
    <row r="26" spans="2:2" x14ac:dyDescent="0.2">
      <c r="B26" t="s">
        <v>399</v>
      </c>
    </row>
    <row r="27" spans="2:2" x14ac:dyDescent="0.2">
      <c r="B27" t="s">
        <v>396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24"/>
  <sheetViews>
    <sheetView workbookViewId="0">
      <selection activeCell="A22" sqref="A22"/>
    </sheetView>
  </sheetViews>
  <sheetFormatPr defaultRowHeight="12.75" x14ac:dyDescent="0.2"/>
  <cols>
    <col min="1" max="1" width="13.5703125" customWidth="1"/>
  </cols>
  <sheetData>
    <row r="2" spans="1:1" ht="20.25" x14ac:dyDescent="0.3">
      <c r="A2" s="16" t="s">
        <v>48</v>
      </c>
    </row>
    <row r="3" spans="1:1" x14ac:dyDescent="0.2">
      <c r="A3" s="13"/>
    </row>
    <row r="4" spans="1:1" x14ac:dyDescent="0.2">
      <c r="A4" s="13" t="s">
        <v>84</v>
      </c>
    </row>
    <row r="5" spans="1:1" x14ac:dyDescent="0.2">
      <c r="A5" s="13"/>
    </row>
    <row r="6" spans="1:1" x14ac:dyDescent="0.2">
      <c r="A6" s="13" t="s">
        <v>78</v>
      </c>
    </row>
    <row r="7" spans="1:1" x14ac:dyDescent="0.2">
      <c r="A7" s="13"/>
    </row>
    <row r="8" spans="1:1" x14ac:dyDescent="0.2">
      <c r="A8" s="13" t="s">
        <v>95</v>
      </c>
    </row>
    <row r="9" spans="1:1" x14ac:dyDescent="0.2">
      <c r="A9" s="13"/>
    </row>
    <row r="10" spans="1:1" x14ac:dyDescent="0.2">
      <c r="A10" s="13"/>
    </row>
    <row r="11" spans="1:1" x14ac:dyDescent="0.2">
      <c r="A11" s="13"/>
    </row>
    <row r="12" spans="1:1" ht="20.25" x14ac:dyDescent="0.3">
      <c r="A12" s="16" t="s">
        <v>73</v>
      </c>
    </row>
    <row r="15" spans="1:1" x14ac:dyDescent="0.2">
      <c r="A15" s="13" t="s">
        <v>92</v>
      </c>
    </row>
    <row r="16" spans="1:1" x14ac:dyDescent="0.2">
      <c r="A16" s="13" t="s">
        <v>93</v>
      </c>
    </row>
    <row r="17" spans="1:2" x14ac:dyDescent="0.2">
      <c r="A17" s="13" t="s">
        <v>94</v>
      </c>
    </row>
    <row r="18" spans="1:2" x14ac:dyDescent="0.2">
      <c r="B18" s="2"/>
    </row>
    <row r="19" spans="1:2" x14ac:dyDescent="0.2">
      <c r="A19" s="13" t="s">
        <v>116</v>
      </c>
    </row>
    <row r="20" spans="1:2" x14ac:dyDescent="0.2">
      <c r="B20" s="2"/>
    </row>
    <row r="21" spans="1:2" x14ac:dyDescent="0.2">
      <c r="A21" s="13" t="s">
        <v>138</v>
      </c>
      <c r="B21" s="2"/>
    </row>
    <row r="22" spans="1:2" x14ac:dyDescent="0.2">
      <c r="B22" s="2"/>
    </row>
    <row r="23" spans="1:2" x14ac:dyDescent="0.2">
      <c r="B23" s="2"/>
    </row>
    <row r="24" spans="1:2" x14ac:dyDescent="0.2">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workbookViewId="0">
      <selection activeCell="B26" sqref="B26"/>
    </sheetView>
  </sheetViews>
  <sheetFormatPr defaultRowHeight="12.75" x14ac:dyDescent="0.2"/>
  <cols>
    <col min="1" max="1" width="34" customWidth="1"/>
    <col min="2" max="2" width="10.7109375" customWidth="1"/>
    <col min="3" max="4" width="11.42578125" customWidth="1"/>
    <col min="5" max="5" width="7.140625" customWidth="1"/>
    <col min="9" max="9" width="11.42578125" customWidth="1"/>
  </cols>
  <sheetData>
    <row r="1" spans="1:16" s="35" customFormat="1" ht="25.5" x14ac:dyDescent="0.2">
      <c r="A1" s="18"/>
      <c r="B1" s="36" t="s">
        <v>160</v>
      </c>
      <c r="C1" s="36" t="s">
        <v>161</v>
      </c>
    </row>
    <row r="2" spans="1:16" x14ac:dyDescent="0.2">
      <c r="A2" s="19" t="s">
        <v>162</v>
      </c>
      <c r="B2" s="37">
        <v>950</v>
      </c>
      <c r="C2" s="38">
        <v>950</v>
      </c>
    </row>
    <row r="3" spans="1:16" x14ac:dyDescent="0.2">
      <c r="A3" s="4" t="s">
        <v>163</v>
      </c>
      <c r="B3" s="39">
        <v>6</v>
      </c>
      <c r="C3" s="40">
        <v>6</v>
      </c>
    </row>
    <row r="4" spans="1:16" x14ac:dyDescent="0.2">
      <c r="A4" s="19" t="s">
        <v>164</v>
      </c>
      <c r="B4" s="41">
        <v>0.05</v>
      </c>
      <c r="C4" s="42">
        <v>0.05</v>
      </c>
    </row>
    <row r="5" spans="1:16" x14ac:dyDescent="0.2">
      <c r="A5" s="19" t="s">
        <v>165</v>
      </c>
      <c r="B5" s="43">
        <v>45</v>
      </c>
      <c r="C5" s="56">
        <v>60</v>
      </c>
      <c r="E5" s="58" t="s">
        <v>184</v>
      </c>
      <c r="F5" s="54"/>
      <c r="G5" s="54"/>
      <c r="H5" s="54"/>
    </row>
    <row r="6" spans="1:16" x14ac:dyDescent="0.2">
      <c r="A6" s="19" t="s">
        <v>166</v>
      </c>
      <c r="B6" s="44">
        <v>15</v>
      </c>
      <c r="C6" s="63">
        <f>'Machinery(Corn)'!C6*(1-'Machinery(Corn)'!C9) + 'Machinery(Corn)'!C8*'Machinery(Corn)'!C9</f>
        <v>20</v>
      </c>
    </row>
    <row r="7" spans="1:16" x14ac:dyDescent="0.2">
      <c r="A7" s="19" t="s">
        <v>167</v>
      </c>
      <c r="B7" s="43">
        <v>45</v>
      </c>
      <c r="C7" s="38">
        <v>45</v>
      </c>
    </row>
    <row r="8" spans="1:16" x14ac:dyDescent="0.2">
      <c r="A8" s="19" t="s">
        <v>178</v>
      </c>
      <c r="B8" s="37"/>
      <c r="C8" s="55">
        <v>0.32</v>
      </c>
    </row>
    <row r="9" spans="1:16" x14ac:dyDescent="0.2">
      <c r="A9" s="19" t="s">
        <v>168</v>
      </c>
      <c r="B9" s="57"/>
      <c r="C9" s="57">
        <f>C8+'Machinery(Corn)'!C5</f>
        <v>3.82</v>
      </c>
    </row>
    <row r="10" spans="1:16" x14ac:dyDescent="0.2">
      <c r="A10" s="19" t="s">
        <v>180</v>
      </c>
      <c r="B10" s="37"/>
      <c r="C10" s="55">
        <v>1.02</v>
      </c>
      <c r="E10" s="59" t="s">
        <v>179</v>
      </c>
      <c r="F10" s="54"/>
      <c r="G10" s="54"/>
      <c r="H10" s="54"/>
      <c r="I10" s="54"/>
      <c r="J10" s="54"/>
      <c r="K10" s="54"/>
      <c r="L10" s="54"/>
      <c r="M10" s="54"/>
      <c r="N10" s="54"/>
      <c r="O10" s="54"/>
      <c r="P10" s="54"/>
    </row>
    <row r="11" spans="1:16" x14ac:dyDescent="0.2">
      <c r="A11" s="15"/>
      <c r="B11" s="45"/>
      <c r="C11" s="46"/>
    </row>
    <row r="12" spans="1:16" x14ac:dyDescent="0.2">
      <c r="C12" s="47" t="s">
        <v>169</v>
      </c>
    </row>
    <row r="13" spans="1:16" x14ac:dyDescent="0.2">
      <c r="B13" t="s">
        <v>170</v>
      </c>
      <c r="C13" s="48">
        <v>8.3834683054144016E-2</v>
      </c>
    </row>
    <row r="14" spans="1:16" x14ac:dyDescent="0.2">
      <c r="B14" t="s">
        <v>171</v>
      </c>
      <c r="C14" s="48">
        <v>6.39358654084756E-4</v>
      </c>
    </row>
    <row r="15" spans="1:16" ht="13.5" thickBot="1" x14ac:dyDescent="0.25">
      <c r="B15" s="49" t="s">
        <v>172</v>
      </c>
      <c r="C15" s="48"/>
    </row>
    <row r="17" spans="1:10" ht="51" x14ac:dyDescent="0.2">
      <c r="B17" s="34" t="s">
        <v>171</v>
      </c>
      <c r="C17" s="50" t="s">
        <v>173</v>
      </c>
      <c r="D17" s="50" t="s">
        <v>174</v>
      </c>
      <c r="E17" s="50" t="s">
        <v>175</v>
      </c>
      <c r="F17" s="50" t="s">
        <v>176</v>
      </c>
      <c r="G17" s="50" t="s">
        <v>177</v>
      </c>
      <c r="H17" s="51" t="s">
        <v>177</v>
      </c>
      <c r="I17" s="50" t="s">
        <v>181</v>
      </c>
      <c r="J17" s="50"/>
    </row>
    <row r="18" spans="1:10" x14ac:dyDescent="0.2">
      <c r="B18">
        <v>5</v>
      </c>
      <c r="C18" s="17">
        <f t="shared" ref="C18:C23" si="0">C$13+B18*C$14+(B18^2)*C$15</f>
        <v>8.70314763245678E-2</v>
      </c>
      <c r="D18" s="17">
        <f t="shared" ref="D18:D23" si="1">C18*C$10</f>
        <v>8.8772105851059158E-2</v>
      </c>
      <c r="E18" s="17">
        <f t="shared" ref="E18:E23" si="2">(B18*2*C$9*(1+C$4))/(C$3*C$2)</f>
        <v>7.0368421052631582E-3</v>
      </c>
      <c r="F18" s="17">
        <f t="shared" ref="F18:F23" si="3">((((B18*2)/C$7)+C$5/60)*C$6)/C$2</f>
        <v>2.5730994152046785E-2</v>
      </c>
      <c r="G18" s="17">
        <f t="shared" ref="G18:G23" si="4">SUM(D18:F18)</f>
        <v>0.1215399421083691</v>
      </c>
      <c r="H18" s="52">
        <f t="shared" ref="H18:H23" si="5">(C$13+B18*C$14+(B18^2)*C$15)*C$10+((B18*2*C$9*(1+C$4))/(C$3*C$2))+((((B18*2)/C$7)+C$5/60)*C$6)/C$2</f>
        <v>0.1215399421083691</v>
      </c>
      <c r="I18" s="53">
        <f t="shared" ref="I18:I23" si="6">H18*C$2</f>
        <v>115.46294500295065</v>
      </c>
      <c r="J18" s="2"/>
    </row>
    <row r="19" spans="1:10" x14ac:dyDescent="0.2">
      <c r="B19">
        <v>10</v>
      </c>
      <c r="C19" s="17">
        <f t="shared" si="0"/>
        <v>9.022826959499157E-2</v>
      </c>
      <c r="D19" s="17">
        <f t="shared" si="1"/>
        <v>9.2032834986891396E-2</v>
      </c>
      <c r="E19" s="17">
        <f t="shared" si="2"/>
        <v>1.4073684210526316E-2</v>
      </c>
      <c r="F19" s="17">
        <f t="shared" si="3"/>
        <v>3.0409356725146199E-2</v>
      </c>
      <c r="G19" s="17">
        <f t="shared" si="4"/>
        <v>0.13651587592256392</v>
      </c>
      <c r="H19" s="52">
        <f t="shared" si="5"/>
        <v>0.13651587592256392</v>
      </c>
      <c r="I19" s="53">
        <f t="shared" si="6"/>
        <v>129.69008212643573</v>
      </c>
      <c r="J19" s="2"/>
    </row>
    <row r="20" spans="1:10" x14ac:dyDescent="0.2">
      <c r="B20">
        <v>25</v>
      </c>
      <c r="C20" s="17">
        <f t="shared" si="0"/>
        <v>9.9818649406262921E-2</v>
      </c>
      <c r="D20" s="17">
        <f t="shared" si="1"/>
        <v>0.10181502239438818</v>
      </c>
      <c r="E20" s="17">
        <f t="shared" si="2"/>
        <v>3.518421052631579E-2</v>
      </c>
      <c r="F20" s="17">
        <f t="shared" si="3"/>
        <v>4.4444444444444446E-2</v>
      </c>
      <c r="G20" s="17">
        <f t="shared" si="4"/>
        <v>0.18144367736514844</v>
      </c>
      <c r="H20" s="52">
        <f t="shared" si="5"/>
        <v>0.18144367736514844</v>
      </c>
      <c r="I20" s="53">
        <f t="shared" si="6"/>
        <v>172.37149349689102</v>
      </c>
      <c r="J20" s="2"/>
    </row>
    <row r="21" spans="1:10" x14ac:dyDescent="0.2">
      <c r="B21">
        <v>50</v>
      </c>
      <c r="C21" s="17">
        <f t="shared" si="0"/>
        <v>0.11580261575838181</v>
      </c>
      <c r="D21" s="17">
        <f t="shared" si="1"/>
        <v>0.11811866807354945</v>
      </c>
      <c r="E21" s="17">
        <f t="shared" si="2"/>
        <v>7.036842105263158E-2</v>
      </c>
      <c r="F21" s="17">
        <f t="shared" si="3"/>
        <v>6.7836257309941514E-2</v>
      </c>
      <c r="G21" s="17">
        <f t="shared" si="4"/>
        <v>0.25632334643612253</v>
      </c>
      <c r="H21" s="52">
        <f t="shared" si="5"/>
        <v>0.25632334643612253</v>
      </c>
      <c r="I21" s="53">
        <f t="shared" si="6"/>
        <v>243.50717911431641</v>
      </c>
      <c r="J21" s="2"/>
    </row>
    <row r="22" spans="1:10" x14ac:dyDescent="0.2">
      <c r="B22">
        <v>100</v>
      </c>
      <c r="C22" s="17">
        <f t="shared" si="0"/>
        <v>0.14777054846261961</v>
      </c>
      <c r="D22" s="17">
        <f t="shared" si="1"/>
        <v>0.150725959431872</v>
      </c>
      <c r="E22" s="17">
        <f t="shared" si="2"/>
        <v>0.14073684210526316</v>
      </c>
      <c r="F22" s="17">
        <f t="shared" si="3"/>
        <v>0.11461988304093566</v>
      </c>
      <c r="G22" s="17">
        <f t="shared" si="4"/>
        <v>0.40608268457807084</v>
      </c>
      <c r="H22" s="52">
        <f t="shared" si="5"/>
        <v>0.40608268457807084</v>
      </c>
      <c r="I22" s="53">
        <f t="shared" si="6"/>
        <v>385.77855034916729</v>
      </c>
      <c r="J22" s="2"/>
    </row>
    <row r="23" spans="1:10" x14ac:dyDescent="0.2">
      <c r="B23">
        <v>200</v>
      </c>
      <c r="C23" s="17">
        <f t="shared" si="0"/>
        <v>0.21170641387109521</v>
      </c>
      <c r="D23" s="17">
        <f t="shared" si="1"/>
        <v>0.2159405421485171</v>
      </c>
      <c r="E23" s="17">
        <f t="shared" si="2"/>
        <v>0.28147368421052632</v>
      </c>
      <c r="F23" s="17">
        <f t="shared" si="3"/>
        <v>0.20818713450292398</v>
      </c>
      <c r="G23" s="17">
        <f t="shared" si="4"/>
        <v>0.70560136086196734</v>
      </c>
      <c r="H23" s="52">
        <f t="shared" si="5"/>
        <v>0.70560136086196734</v>
      </c>
      <c r="I23" s="53">
        <f t="shared" si="6"/>
        <v>670.32129281886898</v>
      </c>
      <c r="J23" s="2"/>
    </row>
    <row r="24" spans="1:10" x14ac:dyDescent="0.2">
      <c r="C24" s="17"/>
      <c r="D24" s="17"/>
      <c r="E24" s="17"/>
      <c r="F24" s="17"/>
      <c r="G24" s="17"/>
      <c r="I24" s="53"/>
      <c r="J24" s="2"/>
    </row>
    <row r="25" spans="1:10" x14ac:dyDescent="0.2">
      <c r="A25" s="8" t="s">
        <v>294</v>
      </c>
      <c r="B25" s="64">
        <f>Corn!I26</f>
        <v>35</v>
      </c>
      <c r="C25" s="60">
        <f>C$13+B25*C$14+(B25^2)*C$15</f>
        <v>0.10621223594711048</v>
      </c>
      <c r="D25" s="60">
        <f>C25*C$10</f>
        <v>0.10833648066605268</v>
      </c>
      <c r="E25" s="60">
        <f>(B25*2*C$9*(1+C$4))/(C$3*C$2)</f>
        <v>4.9257894736842105E-2</v>
      </c>
      <c r="F25" s="60">
        <f>((((B25*2)/C$7)+C$5/60)*C$6)/C$2</f>
        <v>5.3801169590643273E-2</v>
      </c>
      <c r="G25" s="60">
        <f>SUM(D25:F25)</f>
        <v>0.21139554499353805</v>
      </c>
      <c r="H25" s="61">
        <f>(C$13+B25*C$14+(B25^2)*C$15)*C$10+((B25*2*C$9*(1+C$4))/(C$3*C$2))+((((B25*2)/C$7)+C$5/60)*C$6)/C$2</f>
        <v>0.21139554499353805</v>
      </c>
      <c r="I25" s="62">
        <f>H25*C$2</f>
        <v>200.82576774386115</v>
      </c>
      <c r="J25" s="2"/>
    </row>
    <row r="26" spans="1:10" x14ac:dyDescent="0.2">
      <c r="A26" s="8" t="s">
        <v>293</v>
      </c>
      <c r="B26" s="64">
        <f>Soybeans!I26</f>
        <v>35</v>
      </c>
      <c r="C26" s="60">
        <f>C$13+B26*C$14+(B26^2)*C$15</f>
        <v>0.10621223594711048</v>
      </c>
      <c r="D26" s="60">
        <f>C26*C$10</f>
        <v>0.10833648066605268</v>
      </c>
      <c r="E26" s="60">
        <f>(B26*2*C$9*(1+C$4))/(C$3*C$2)</f>
        <v>4.9257894736842105E-2</v>
      </c>
      <c r="F26" s="60">
        <f>((((B26*2)/C$7)+C$5/60)*C$6)/C$2</f>
        <v>5.3801169590643273E-2</v>
      </c>
      <c r="G26" s="60">
        <f>SUM(D26:F26)</f>
        <v>0.21139554499353805</v>
      </c>
      <c r="H26" s="61">
        <f>(C$13+B26*C$14+(B26^2)*C$15)*C$10+((B26*2*C$9*(1+C$4))/(C$3*C$2))+((((B26*2)/C$7)+C$5/60)*C$6)/C$2</f>
        <v>0.21139554499353805</v>
      </c>
      <c r="I26" s="62">
        <f>H26*C$2</f>
        <v>200.82576774386115</v>
      </c>
    </row>
    <row r="28" spans="1:10" x14ac:dyDescent="0.2">
      <c r="A28" t="s">
        <v>292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V105"/>
  <sheetViews>
    <sheetView showGridLines="0" zoomScaleNormal="100" workbookViewId="0">
      <selection activeCell="G6" sqref="G6"/>
    </sheetView>
  </sheetViews>
  <sheetFormatPr defaultColWidth="9.140625" defaultRowHeight="12.75" x14ac:dyDescent="0.2"/>
  <cols>
    <col min="1" max="1" width="3.7109375" style="149" customWidth="1"/>
    <col min="2" max="2" width="4.7109375" style="149" customWidth="1"/>
    <col min="3" max="4" width="16.7109375" style="149" customWidth="1"/>
    <col min="5" max="5" width="8.7109375" style="149" customWidth="1"/>
    <col min="6" max="6" width="9.85546875" style="149" customWidth="1"/>
    <col min="7" max="7" width="8.7109375" style="149" customWidth="1"/>
    <col min="8" max="8" width="13.7109375" style="149" customWidth="1"/>
    <col min="9" max="9" width="5.7109375" style="149" customWidth="1"/>
    <col min="10" max="10" width="10.28515625" style="149" bestFit="1" customWidth="1"/>
    <col min="11" max="11" width="3.7109375" style="149" customWidth="1"/>
    <col min="12" max="12" width="5.7109375" style="149" customWidth="1"/>
    <col min="13" max="13" width="20.140625" style="149" customWidth="1"/>
    <col min="14" max="18" width="7.7109375" style="149" customWidth="1"/>
    <col min="19" max="19" width="9.140625" style="149" customWidth="1"/>
    <col min="20" max="20" width="11.7109375" style="149" customWidth="1"/>
    <col min="21" max="21" width="7.140625" style="149" customWidth="1"/>
    <col min="22" max="16384" width="9.140625" style="149"/>
  </cols>
  <sheetData>
    <row r="2" spans="2:22" ht="15.75" x14ac:dyDescent="0.2">
      <c r="B2" s="349" t="str">
        <f>'Machinery(Corn)'!C16&amp;" Corn, Per Acre Costs and Returns"</f>
        <v>No-Till Corn, Per Acre Costs and Returns</v>
      </c>
      <c r="C2" s="350"/>
      <c r="D2" s="350"/>
      <c r="E2" s="350"/>
      <c r="F2" s="350"/>
      <c r="G2" s="350"/>
      <c r="H2" s="350"/>
      <c r="I2" s="350"/>
      <c r="J2" s="350"/>
      <c r="L2" s="149" t="s">
        <v>75</v>
      </c>
    </row>
    <row r="3" spans="2:22" ht="5.25" customHeight="1" x14ac:dyDescent="0.2">
      <c r="B3" s="343"/>
      <c r="C3" s="344"/>
      <c r="D3" s="344"/>
      <c r="E3" s="344"/>
      <c r="F3" s="344"/>
      <c r="G3" s="344"/>
      <c r="H3" s="344"/>
      <c r="I3" s="344"/>
      <c r="J3" s="345"/>
    </row>
    <row r="4" spans="2:22" s="305" customFormat="1" ht="12.95" customHeight="1" x14ac:dyDescent="0.2">
      <c r="B4" s="355"/>
      <c r="C4" s="356"/>
      <c r="D4" s="357"/>
      <c r="E4" s="187" t="s">
        <v>135</v>
      </c>
      <c r="F4" s="187" t="s">
        <v>52</v>
      </c>
      <c r="G4" s="187" t="s">
        <v>53</v>
      </c>
      <c r="H4" s="351"/>
      <c r="I4" s="352"/>
      <c r="J4" s="187" t="s">
        <v>5</v>
      </c>
    </row>
    <row r="5" spans="2:22" ht="12.95" customHeight="1" x14ac:dyDescent="0.2">
      <c r="B5" s="150" t="s">
        <v>54</v>
      </c>
      <c r="C5" s="150"/>
      <c r="D5" s="151"/>
      <c r="E5" s="340"/>
      <c r="F5" s="341"/>
      <c r="G5" s="341"/>
      <c r="H5" s="341"/>
      <c r="I5" s="341"/>
      <c r="J5" s="342"/>
    </row>
    <row r="6" spans="2:22" ht="12.95" customHeight="1" x14ac:dyDescent="0.2">
      <c r="B6" s="152"/>
      <c r="C6" s="332" t="s">
        <v>34</v>
      </c>
      <c r="D6" s="333"/>
      <c r="E6" s="121">
        <v>170</v>
      </c>
      <c r="F6" s="152" t="s">
        <v>55</v>
      </c>
      <c r="G6" s="122">
        <v>5.4</v>
      </c>
      <c r="H6" s="331"/>
      <c r="I6" s="331"/>
      <c r="J6" s="153">
        <f>E6*G6</f>
        <v>918.00000000000011</v>
      </c>
    </row>
    <row r="7" spans="2:22" ht="12.95" customHeight="1" x14ac:dyDescent="0.2">
      <c r="B7" s="152"/>
      <c r="C7" s="329" t="s">
        <v>158</v>
      </c>
      <c r="D7" s="330"/>
      <c r="E7" s="152">
        <v>1</v>
      </c>
      <c r="F7" s="152" t="s">
        <v>60</v>
      </c>
      <c r="G7" s="122">
        <v>0</v>
      </c>
      <c r="H7" s="353"/>
      <c r="I7" s="354"/>
      <c r="J7" s="154">
        <f>E7*G7</f>
        <v>0</v>
      </c>
    </row>
    <row r="8" spans="2:22" ht="12.95" customHeight="1" x14ac:dyDescent="0.2">
      <c r="B8" s="152"/>
      <c r="C8" s="329" t="s">
        <v>157</v>
      </c>
      <c r="D8" s="330"/>
      <c r="E8" s="152">
        <v>1</v>
      </c>
      <c r="F8" s="152" t="s">
        <v>60</v>
      </c>
      <c r="G8" s="122">
        <v>5</v>
      </c>
      <c r="H8" s="353"/>
      <c r="I8" s="354"/>
      <c r="J8" s="155">
        <f>E8*G8</f>
        <v>5</v>
      </c>
    </row>
    <row r="9" spans="2:22" ht="12.95" customHeight="1" x14ac:dyDescent="0.2">
      <c r="B9" s="346" t="s">
        <v>74</v>
      </c>
      <c r="C9" s="347"/>
      <c r="D9" s="348"/>
      <c r="E9" s="152"/>
      <c r="F9" s="152"/>
      <c r="G9" s="301"/>
      <c r="H9" s="331"/>
      <c r="I9" s="331"/>
      <c r="J9" s="300">
        <f>SUM(J6:J8)</f>
        <v>923.00000000000011</v>
      </c>
    </row>
    <row r="10" spans="2:22" ht="4.5" customHeight="1" x14ac:dyDescent="0.2">
      <c r="B10" s="343"/>
      <c r="C10" s="344"/>
      <c r="D10" s="344"/>
      <c r="E10" s="344"/>
      <c r="F10" s="344"/>
      <c r="G10" s="344"/>
      <c r="H10" s="344"/>
      <c r="I10" s="344"/>
      <c r="J10" s="345"/>
    </row>
    <row r="11" spans="2:22" ht="12.95" customHeight="1" x14ac:dyDescent="0.2">
      <c r="B11" s="346" t="s">
        <v>56</v>
      </c>
      <c r="C11" s="347"/>
      <c r="D11" s="348"/>
      <c r="E11" s="340"/>
      <c r="F11" s="341"/>
      <c r="G11" s="341"/>
      <c r="H11" s="341"/>
      <c r="I11" s="341"/>
      <c r="J11" s="342"/>
      <c r="L11" s="398" t="s">
        <v>374</v>
      </c>
      <c r="M11" s="399"/>
      <c r="N11" s="397" t="s">
        <v>186</v>
      </c>
      <c r="O11" s="397" t="s">
        <v>255</v>
      </c>
      <c r="P11" s="397" t="s">
        <v>256</v>
      </c>
      <c r="Q11" s="397" t="s">
        <v>305</v>
      </c>
      <c r="R11" s="397" t="s">
        <v>304</v>
      </c>
      <c r="S11" s="397" t="str">
        <f>M14&amp;" Adjusted"</f>
        <v>DAP Adjusted</v>
      </c>
      <c r="T11" s="397" t="s">
        <v>313</v>
      </c>
      <c r="U11" s="396"/>
      <c r="V11" s="395"/>
    </row>
    <row r="12" spans="2:22" ht="12.95" customHeight="1" thickBot="1" x14ac:dyDescent="0.25">
      <c r="B12" s="152"/>
      <c r="C12" s="332" t="s">
        <v>57</v>
      </c>
      <c r="D12" s="333"/>
      <c r="E12" s="123">
        <v>0.38</v>
      </c>
      <c r="F12" s="152" t="s">
        <v>58</v>
      </c>
      <c r="G12" s="122">
        <v>265</v>
      </c>
      <c r="H12" s="331"/>
      <c r="I12" s="331"/>
      <c r="J12" s="153">
        <f t="shared" ref="J12:J20" si="0">E12*G12</f>
        <v>100.7</v>
      </c>
      <c r="K12" s="156"/>
      <c r="L12" s="400"/>
      <c r="M12" s="401"/>
      <c r="N12" s="397"/>
      <c r="O12" s="397"/>
      <c r="P12" s="397"/>
      <c r="Q12" s="397"/>
      <c r="R12" s="397"/>
      <c r="S12" s="397"/>
      <c r="T12" s="397"/>
      <c r="U12" s="396"/>
      <c r="V12" s="395"/>
    </row>
    <row r="13" spans="2:22" ht="12.95" customHeight="1" thickBot="1" x14ac:dyDescent="0.25">
      <c r="B13" s="152"/>
      <c r="C13" s="325" t="s">
        <v>208</v>
      </c>
      <c r="D13" s="326"/>
      <c r="E13" s="121">
        <v>170</v>
      </c>
      <c r="F13" s="157" t="s">
        <v>156</v>
      </c>
      <c r="G13" s="122">
        <v>0.65</v>
      </c>
      <c r="H13" s="334" t="s">
        <v>332</v>
      </c>
      <c r="I13" s="335"/>
      <c r="J13" s="153">
        <f t="shared" si="0"/>
        <v>110.5</v>
      </c>
      <c r="K13" s="156"/>
      <c r="L13" s="158" t="s">
        <v>90</v>
      </c>
      <c r="M13" s="312" t="s">
        <v>190</v>
      </c>
      <c r="N13" s="159" t="str">
        <f>IF(M13=M73,R73,IF(M13=M74,R74,IF(M13=M75,R75,R76)))</f>
        <v>82-0-0</v>
      </c>
      <c r="O13" s="198">
        <v>1000</v>
      </c>
      <c r="P13" s="160">
        <f>IF(M13=M73,O13/(2000*N73),IF(M13=M74,O13/(2000*N74),IF(M13=M75,O13/(2000*N75),O13/(2000*N76))))</f>
        <v>0.6097560975609756</v>
      </c>
      <c r="Q13" s="199">
        <v>185</v>
      </c>
      <c r="R13" s="161">
        <f>IF(M13=M73,Q13*N73,IF(M13=M74,Q13*N74,IF(M13=M75,Q13*N75,Q13*N76)))</f>
        <v>151.69999999999999</v>
      </c>
      <c r="S13" s="161">
        <f>IF(M14=M81,Q14*N81,IF(M14=M82,Q14*N82,Q14*N83))</f>
        <v>22.5</v>
      </c>
      <c r="T13" s="162">
        <f>SUM(R13:S13)</f>
        <v>174.2</v>
      </c>
      <c r="U13" s="163"/>
      <c r="V13" s="92"/>
    </row>
    <row r="14" spans="2:22" ht="12.95" customHeight="1" thickBot="1" x14ac:dyDescent="0.25">
      <c r="B14" s="152"/>
      <c r="C14" s="326" t="s">
        <v>111</v>
      </c>
      <c r="D14" s="326"/>
      <c r="E14" s="121">
        <v>60</v>
      </c>
      <c r="F14" s="157" t="s">
        <v>156</v>
      </c>
      <c r="G14" s="122">
        <v>0.65</v>
      </c>
      <c r="H14" s="336"/>
      <c r="I14" s="337"/>
      <c r="J14" s="153">
        <f t="shared" si="0"/>
        <v>39</v>
      </c>
      <c r="K14" s="156"/>
      <c r="L14" s="158" t="s">
        <v>315</v>
      </c>
      <c r="M14" s="312" t="s">
        <v>203</v>
      </c>
      <c r="N14" s="164" t="str">
        <f>IF(M14=M81,R81,IF(M14=M82,R82,R83))</f>
        <v>18-46-0</v>
      </c>
      <c r="O14" s="198">
        <v>800</v>
      </c>
      <c r="P14" s="160">
        <f>IF(M14=M81,(O14-2000*N81*P13)/(2000*P81),IF(M14=M82,(O14-2000*N82*P13)/(2000*P82),(O14-2000*N83*P13)/(2000*P83)))</f>
        <v>0.63096500530222699</v>
      </c>
      <c r="Q14" s="199">
        <v>125</v>
      </c>
      <c r="R14" s="161">
        <f>IF(M14=M81,Q14*P81,IF(M14=M82,Q14*P82,Q14*P83))</f>
        <v>57.5</v>
      </c>
      <c r="S14" s="161" t="s">
        <v>277</v>
      </c>
      <c r="T14" s="162">
        <f t="shared" ref="T14:T15" si="1">SUM(R14:S14)</f>
        <v>57.5</v>
      </c>
      <c r="U14" s="92"/>
      <c r="V14" s="92"/>
    </row>
    <row r="15" spans="2:22" ht="12.95" customHeight="1" thickBot="1" x14ac:dyDescent="0.25">
      <c r="B15" s="152"/>
      <c r="C15" s="326" t="s">
        <v>112</v>
      </c>
      <c r="D15" s="326"/>
      <c r="E15" s="121">
        <v>55</v>
      </c>
      <c r="F15" s="157" t="s">
        <v>156</v>
      </c>
      <c r="G15" s="122">
        <v>0.5</v>
      </c>
      <c r="H15" s="338"/>
      <c r="I15" s="339"/>
      <c r="J15" s="153">
        <f t="shared" si="0"/>
        <v>27.5</v>
      </c>
      <c r="K15" s="156"/>
      <c r="L15" s="158" t="s">
        <v>316</v>
      </c>
      <c r="M15" s="312" t="s">
        <v>211</v>
      </c>
      <c r="N15" s="159" t="str">
        <f>IF(M15=M78,R78,R79)</f>
        <v>0-0-60</v>
      </c>
      <c r="O15" s="198">
        <v>575</v>
      </c>
      <c r="P15" s="160">
        <f>IF(M15=M78,O15/(2000*O78),O15/(2000*O79))</f>
        <v>0.47916666666666669</v>
      </c>
      <c r="Q15" s="199">
        <v>90</v>
      </c>
      <c r="R15" s="161">
        <f>IF(M15=M78,Q15*O78,Q15*O79)</f>
        <v>54</v>
      </c>
      <c r="S15" s="161" t="s">
        <v>277</v>
      </c>
      <c r="T15" s="162">
        <f t="shared" si="1"/>
        <v>54</v>
      </c>
      <c r="U15" s="92"/>
      <c r="V15" s="92"/>
    </row>
    <row r="16" spans="2:22" ht="12.95" customHeight="1" x14ac:dyDescent="0.2">
      <c r="B16" s="152"/>
      <c r="C16" s="332" t="s">
        <v>97</v>
      </c>
      <c r="D16" s="333"/>
      <c r="E16" s="121">
        <v>0</v>
      </c>
      <c r="F16" s="157" t="s">
        <v>314</v>
      </c>
      <c r="G16" s="122">
        <v>0</v>
      </c>
      <c r="H16" s="302"/>
      <c r="I16" s="303"/>
      <c r="J16" s="153">
        <f t="shared" si="0"/>
        <v>0</v>
      </c>
      <c r="L16" s="124" t="s">
        <v>257</v>
      </c>
      <c r="M16" s="163"/>
      <c r="N16" s="165"/>
      <c r="O16" s="166"/>
      <c r="P16" s="163"/>
      <c r="Q16" s="163"/>
      <c r="R16" s="163"/>
      <c r="S16" s="163"/>
      <c r="T16" s="167"/>
      <c r="U16" s="167"/>
    </row>
    <row r="17" spans="2:15" ht="12.95" customHeight="1" x14ac:dyDescent="0.2">
      <c r="B17" s="152"/>
      <c r="C17" s="332" t="s">
        <v>87</v>
      </c>
      <c r="D17" s="333"/>
      <c r="E17" s="125">
        <v>0.7</v>
      </c>
      <c r="F17" s="157" t="s">
        <v>306</v>
      </c>
      <c r="G17" s="122">
        <v>25</v>
      </c>
      <c r="H17" s="331"/>
      <c r="I17" s="331"/>
      <c r="J17" s="153">
        <f t="shared" si="0"/>
        <v>17.5</v>
      </c>
      <c r="L17" s="124" t="str">
        <f>"The value of the Nitrogen in the "&amp;M14&amp; " fertilizer is being subtracted and added into the N Adjusted Units/Acre."</f>
        <v>The value of the Nitrogen in the DAP fertilizer is being subtracted and added into the N Adjusted Units/Acre.</v>
      </c>
    </row>
    <row r="18" spans="2:15" ht="12.95" customHeight="1" x14ac:dyDescent="0.2">
      <c r="B18" s="152"/>
      <c r="C18" s="332" t="s">
        <v>59</v>
      </c>
      <c r="D18" s="333"/>
      <c r="E18" s="152">
        <v>1</v>
      </c>
      <c r="F18" s="152" t="s">
        <v>60</v>
      </c>
      <c r="G18" s="122">
        <v>85</v>
      </c>
      <c r="H18" s="331"/>
      <c r="I18" s="331"/>
      <c r="J18" s="153">
        <f t="shared" si="0"/>
        <v>85</v>
      </c>
      <c r="L18" s="132"/>
    </row>
    <row r="19" spans="2:15" ht="12.95" customHeight="1" x14ac:dyDescent="0.2">
      <c r="B19" s="152"/>
      <c r="C19" s="329" t="s">
        <v>144</v>
      </c>
      <c r="D19" s="333"/>
      <c r="E19" s="152">
        <v>1</v>
      </c>
      <c r="F19" s="152" t="s">
        <v>60</v>
      </c>
      <c r="G19" s="122">
        <v>0</v>
      </c>
      <c r="H19" s="331"/>
      <c r="I19" s="331"/>
      <c r="J19" s="153">
        <f t="shared" si="0"/>
        <v>0</v>
      </c>
    </row>
    <row r="20" spans="2:15" ht="12.95" customHeight="1" thickBot="1" x14ac:dyDescent="0.25">
      <c r="B20" s="152"/>
      <c r="C20" s="329" t="s">
        <v>145</v>
      </c>
      <c r="D20" s="330"/>
      <c r="E20" s="152">
        <v>1</v>
      </c>
      <c r="F20" s="152" t="s">
        <v>60</v>
      </c>
      <c r="G20" s="122">
        <v>0</v>
      </c>
      <c r="H20" s="327"/>
      <c r="I20" s="328"/>
      <c r="J20" s="153">
        <f t="shared" si="0"/>
        <v>0</v>
      </c>
      <c r="L20" s="132"/>
    </row>
    <row r="21" spans="2:15" ht="12.95" customHeight="1" x14ac:dyDescent="0.2">
      <c r="B21" s="152"/>
      <c r="C21" s="361" t="s">
        <v>86</v>
      </c>
      <c r="D21" s="362"/>
      <c r="E21" s="200">
        <v>1</v>
      </c>
      <c r="F21" s="168" t="s">
        <v>60</v>
      </c>
      <c r="G21" s="126">
        <v>0</v>
      </c>
      <c r="H21" s="363" t="s">
        <v>128</v>
      </c>
      <c r="I21" s="381" t="s">
        <v>51</v>
      </c>
      <c r="J21" s="169">
        <f>IF(I21=D60,'Machinery Calculations (Corn)'!U74,E21*G21)</f>
        <v>28.018456782903762</v>
      </c>
      <c r="L21" s="132"/>
      <c r="M21" s="170"/>
      <c r="N21" s="170"/>
      <c r="O21" s="132"/>
    </row>
    <row r="22" spans="2:15" ht="12.95" customHeight="1" x14ac:dyDescent="0.2">
      <c r="B22" s="152"/>
      <c r="C22" s="361" t="s">
        <v>8</v>
      </c>
      <c r="D22" s="362"/>
      <c r="E22" s="200">
        <v>1</v>
      </c>
      <c r="F22" s="168" t="s">
        <v>60</v>
      </c>
      <c r="G22" s="126">
        <v>0</v>
      </c>
      <c r="H22" s="384"/>
      <c r="I22" s="382"/>
      <c r="J22" s="169">
        <f>IF(I21=D60,'Machinery Calculations (Corn)'!X74,E22*G22)</f>
        <v>30.683099800085877</v>
      </c>
      <c r="L22" s="170"/>
      <c r="M22" s="156"/>
    </row>
    <row r="23" spans="2:15" ht="12.95" customHeight="1" x14ac:dyDescent="0.2">
      <c r="B23" s="152"/>
      <c r="C23" s="361" t="s">
        <v>71</v>
      </c>
      <c r="D23" s="362"/>
      <c r="E23" s="200">
        <v>1</v>
      </c>
      <c r="F23" s="168" t="s">
        <v>60</v>
      </c>
      <c r="G23" s="126">
        <v>0</v>
      </c>
      <c r="H23" s="384"/>
      <c r="I23" s="382"/>
      <c r="J23" s="169">
        <f>IF(I21=D60,'Machinery Calculations (Corn)'!W74,E23*G23)</f>
        <v>0</v>
      </c>
      <c r="L23" s="156"/>
      <c r="M23" s="156"/>
    </row>
    <row r="24" spans="2:15" ht="12.95" customHeight="1" x14ac:dyDescent="0.2">
      <c r="B24" s="152"/>
      <c r="C24" s="361" t="s">
        <v>113</v>
      </c>
      <c r="D24" s="362"/>
      <c r="E24" s="200">
        <v>1</v>
      </c>
      <c r="F24" s="168" t="s">
        <v>60</v>
      </c>
      <c r="G24" s="126">
        <v>0</v>
      </c>
      <c r="H24" s="384"/>
      <c r="I24" s="382"/>
      <c r="J24" s="169">
        <f>IF(I21=D60,(IF('Machinery Calculations (Corn)'!B5='Machinery(Corn)'!B49,'Machinery Calculations (Corn)'!V74,0)),E24*G24)</f>
        <v>38.323464706669284</v>
      </c>
      <c r="K24" s="156"/>
      <c r="L24" s="156"/>
    </row>
    <row r="25" spans="2:15" ht="12.95" customHeight="1" thickBot="1" x14ac:dyDescent="0.25">
      <c r="B25" s="152"/>
      <c r="C25" s="361" t="s">
        <v>50</v>
      </c>
      <c r="D25" s="367"/>
      <c r="E25" s="200">
        <v>1</v>
      </c>
      <c r="F25" s="168" t="s">
        <v>60</v>
      </c>
      <c r="G25" s="126">
        <v>0</v>
      </c>
      <c r="H25" s="385"/>
      <c r="I25" s="383"/>
      <c r="J25" s="169">
        <f>IF(I21=D60,'Machinery Calculations (Corn)'!Z74,E25*G25)</f>
        <v>0</v>
      </c>
      <c r="K25" s="149" t="s">
        <v>75</v>
      </c>
      <c r="L25" s="132"/>
    </row>
    <row r="26" spans="2:15" ht="12.95" customHeight="1" thickBot="1" x14ac:dyDescent="0.25">
      <c r="B26" s="152"/>
      <c r="C26" s="171" t="s">
        <v>232</v>
      </c>
      <c r="D26" s="313" t="s">
        <v>213</v>
      </c>
      <c r="E26" s="172">
        <v>1</v>
      </c>
      <c r="F26" s="157" t="s">
        <v>55</v>
      </c>
      <c r="G26" s="127">
        <v>0.2</v>
      </c>
      <c r="H26" s="380" t="s">
        <v>263</v>
      </c>
      <c r="I26" s="378">
        <v>35</v>
      </c>
      <c r="J26" s="153" t="str">
        <f>IF(I21=D59,E6*G26,IF(D26=C69,E6*G26,""))</f>
        <v/>
      </c>
      <c r="K26" s="156"/>
      <c r="L26" s="124" t="str">
        <f>IF(I21=D59,"You must enter trucking in $/Bushel if you select N for 'Calculate Machinery Related Costs' above.","Select how you would like to include trucking costs.")</f>
        <v>Select how you would like to include trucking costs.</v>
      </c>
    </row>
    <row r="27" spans="2:15" ht="12.95" customHeight="1" thickBot="1" x14ac:dyDescent="0.25">
      <c r="B27" s="173"/>
      <c r="C27" s="376" t="s">
        <v>235</v>
      </c>
      <c r="D27" s="377"/>
      <c r="E27" s="172">
        <v>1</v>
      </c>
      <c r="F27" s="157" t="s">
        <v>55</v>
      </c>
      <c r="G27" s="174">
        <f>'Machinery Calculations (Corn)'!AA81/E6</f>
        <v>0.21139554499353805</v>
      </c>
      <c r="H27" s="380"/>
      <c r="I27" s="379"/>
      <c r="J27" s="153" t="str">
        <f>IF(I21=D59,"",IF(D26=C70,IF(C27=C84,E6*G27,""),""))</f>
        <v/>
      </c>
      <c r="K27" s="156"/>
      <c r="L27" s="175" t="s">
        <v>276</v>
      </c>
    </row>
    <row r="28" spans="2:15" ht="12.95" customHeight="1" x14ac:dyDescent="0.2">
      <c r="B28" s="152"/>
      <c r="C28" s="394" t="s">
        <v>77</v>
      </c>
      <c r="D28" s="389"/>
      <c r="E28" s="152">
        <v>1</v>
      </c>
      <c r="F28" s="152" t="s">
        <v>60</v>
      </c>
      <c r="G28" s="122">
        <v>0</v>
      </c>
      <c r="H28" s="386"/>
      <c r="I28" s="387"/>
      <c r="J28" s="153">
        <f>E28*G28</f>
        <v>0</v>
      </c>
      <c r="K28" s="149" t="s">
        <v>75</v>
      </c>
      <c r="L28" s="132"/>
    </row>
    <row r="29" spans="2:15" ht="12.95" customHeight="1" thickBot="1" x14ac:dyDescent="0.25">
      <c r="B29" s="152"/>
      <c r="C29" s="332" t="s">
        <v>148</v>
      </c>
      <c r="D29" s="388"/>
      <c r="E29" s="152">
        <v>1</v>
      </c>
      <c r="F29" s="152" t="s">
        <v>85</v>
      </c>
      <c r="G29" s="122">
        <v>2</v>
      </c>
      <c r="H29" s="306" t="s">
        <v>123</v>
      </c>
      <c r="I29" s="128">
        <v>3</v>
      </c>
      <c r="J29" s="153">
        <f>(G29/54.5+0.005)*E6*I29</f>
        <v>21.26559633027523</v>
      </c>
      <c r="K29" s="176"/>
    </row>
    <row r="30" spans="2:15" ht="12.95" customHeight="1" thickBot="1" x14ac:dyDescent="0.25">
      <c r="B30" s="152"/>
      <c r="C30" s="177" t="s">
        <v>215</v>
      </c>
      <c r="D30" s="313" t="s">
        <v>240</v>
      </c>
      <c r="E30" s="178">
        <f>E6*I30</f>
        <v>42.5</v>
      </c>
      <c r="F30" s="157" t="s">
        <v>55</v>
      </c>
      <c r="G30" s="122">
        <v>0.25</v>
      </c>
      <c r="H30" s="306" t="s">
        <v>216</v>
      </c>
      <c r="I30" s="129">
        <v>0.25</v>
      </c>
      <c r="J30" s="153">
        <f>IF(D30=C65,E30*G30,'Storage(Corn&amp;SB)'!C21)</f>
        <v>13.79125</v>
      </c>
      <c r="K30" s="176"/>
      <c r="L30" s="124" t="s">
        <v>239</v>
      </c>
      <c r="M30" s="179"/>
      <c r="N30" s="179"/>
      <c r="O30" s="180"/>
    </row>
    <row r="31" spans="2:15" ht="12.95" customHeight="1" thickBot="1" x14ac:dyDescent="0.25">
      <c r="B31" s="152"/>
      <c r="C31" s="329" t="s">
        <v>155</v>
      </c>
      <c r="D31" s="393"/>
      <c r="E31" s="152">
        <v>1</v>
      </c>
      <c r="F31" s="152" t="s">
        <v>60</v>
      </c>
      <c r="G31" s="122">
        <v>25</v>
      </c>
      <c r="H31" s="392"/>
      <c r="I31" s="392"/>
      <c r="J31" s="153">
        <f>E31*G31</f>
        <v>25</v>
      </c>
    </row>
    <row r="32" spans="2:15" ht="12.95" customHeight="1" thickBot="1" x14ac:dyDescent="0.25">
      <c r="B32" s="152"/>
      <c r="C32" s="177" t="s">
        <v>329</v>
      </c>
      <c r="D32" s="313" t="s">
        <v>243</v>
      </c>
      <c r="E32" s="172">
        <v>1</v>
      </c>
      <c r="F32" s="157" t="s">
        <v>60</v>
      </c>
      <c r="G32" s="122">
        <v>200</v>
      </c>
      <c r="H32" s="306" t="s">
        <v>231</v>
      </c>
      <c r="I32" s="129">
        <v>0.25</v>
      </c>
      <c r="J32" s="153">
        <f>IF(D32=C79,E32*G32,J6*I32)</f>
        <v>200</v>
      </c>
      <c r="L32" s="124" t="s">
        <v>238</v>
      </c>
      <c r="M32" s="179"/>
      <c r="N32" s="179"/>
      <c r="O32" s="180"/>
    </row>
    <row r="33" spans="2:15" ht="12.95" customHeight="1" x14ac:dyDescent="0.2">
      <c r="B33" s="152"/>
      <c r="C33" s="332" t="s">
        <v>333</v>
      </c>
      <c r="D33" s="389"/>
      <c r="E33" s="152">
        <v>1</v>
      </c>
      <c r="F33" s="157" t="s">
        <v>60</v>
      </c>
      <c r="G33" s="122">
        <v>0</v>
      </c>
      <c r="H33" s="390"/>
      <c r="I33" s="391"/>
      <c r="J33" s="153">
        <f>E33*G33</f>
        <v>0</v>
      </c>
      <c r="L33" s="124"/>
      <c r="M33" s="179"/>
      <c r="N33" s="179"/>
      <c r="O33" s="180"/>
    </row>
    <row r="34" spans="2:15" ht="12.95" customHeight="1" x14ac:dyDescent="0.2">
      <c r="B34" s="152"/>
      <c r="C34" s="332" t="s">
        <v>150</v>
      </c>
      <c r="D34" s="333"/>
      <c r="E34" s="152">
        <v>1</v>
      </c>
      <c r="F34" s="152" t="s">
        <v>60</v>
      </c>
      <c r="G34" s="122">
        <v>10</v>
      </c>
      <c r="H34" s="375"/>
      <c r="I34" s="375"/>
      <c r="J34" s="153">
        <f>E34*G34</f>
        <v>10</v>
      </c>
    </row>
    <row r="35" spans="2:15" ht="12.95" customHeight="1" x14ac:dyDescent="0.2">
      <c r="B35" s="152"/>
      <c r="C35" s="332" t="s">
        <v>61</v>
      </c>
      <c r="D35" s="333"/>
      <c r="E35" s="181">
        <f>SUM(J12:J34)-J29-J30-(SUM('Machinery Calculations (Corn)'!U47:U51,'Machinery Calculations (Corn)'!V47:V51,'Machinery Calculations (Corn)'!W47:W51,'Machinery Calculations (Corn)'!X47:X51,'Machinery Calculations (Corn)'!Z47:Z51))</f>
        <v>663.38321941130607</v>
      </c>
      <c r="F35" s="152" t="s">
        <v>62</v>
      </c>
      <c r="G35" s="130">
        <v>7.0000000000000007E-2</v>
      </c>
      <c r="H35" s="306" t="s">
        <v>81</v>
      </c>
      <c r="I35" s="131">
        <v>6</v>
      </c>
      <c r="J35" s="155">
        <f>E35*G35*(I35/12)</f>
        <v>23.218412679395716</v>
      </c>
    </row>
    <row r="36" spans="2:15" ht="12.95" customHeight="1" x14ac:dyDescent="0.2">
      <c r="B36" s="346" t="s">
        <v>63</v>
      </c>
      <c r="C36" s="347"/>
      <c r="D36" s="348"/>
      <c r="E36" s="152"/>
      <c r="F36" s="152"/>
      <c r="G36" s="152"/>
      <c r="H36" s="331"/>
      <c r="I36" s="331"/>
      <c r="J36" s="300">
        <f>SUM(J12:J35)</f>
        <v>770.5002802993298</v>
      </c>
    </row>
    <row r="37" spans="2:15" ht="7.5" customHeight="1" x14ac:dyDescent="0.2">
      <c r="B37" s="343"/>
      <c r="C37" s="344"/>
      <c r="D37" s="344"/>
      <c r="E37" s="344"/>
      <c r="F37" s="344"/>
      <c r="G37" s="344"/>
      <c r="H37" s="344"/>
      <c r="I37" s="344"/>
      <c r="J37" s="345"/>
    </row>
    <row r="38" spans="2:15" ht="15.75" x14ac:dyDescent="0.2">
      <c r="B38" s="340" t="s">
        <v>64</v>
      </c>
      <c r="C38" s="341"/>
      <c r="D38" s="341"/>
      <c r="E38" s="341"/>
      <c r="F38" s="341"/>
      <c r="G38" s="341"/>
      <c r="H38" s="341"/>
      <c r="I38" s="342"/>
      <c r="J38" s="182">
        <f>J9-J36</f>
        <v>152.49971970067031</v>
      </c>
    </row>
    <row r="39" spans="2:15" ht="7.5" customHeight="1" x14ac:dyDescent="0.2">
      <c r="B39" s="343"/>
      <c r="C39" s="344"/>
      <c r="D39" s="344"/>
      <c r="E39" s="344"/>
      <c r="F39" s="344"/>
      <c r="G39" s="344"/>
      <c r="H39" s="344"/>
      <c r="I39" s="344"/>
      <c r="J39" s="345"/>
    </row>
    <row r="40" spans="2:15" ht="12.95" customHeight="1" x14ac:dyDescent="0.2">
      <c r="B40" s="346" t="s">
        <v>65</v>
      </c>
      <c r="C40" s="347"/>
      <c r="D40" s="348"/>
      <c r="E40" s="340"/>
      <c r="F40" s="341"/>
      <c r="G40" s="341"/>
      <c r="H40" s="341"/>
      <c r="I40" s="341"/>
      <c r="J40" s="342"/>
    </row>
    <row r="41" spans="2:15" ht="12.95" customHeight="1" x14ac:dyDescent="0.2">
      <c r="B41" s="152"/>
      <c r="C41" s="361" t="s">
        <v>114</v>
      </c>
      <c r="D41" s="362"/>
      <c r="E41" s="168">
        <v>1</v>
      </c>
      <c r="F41" s="168" t="s">
        <v>60</v>
      </c>
      <c r="G41" s="126">
        <v>0</v>
      </c>
      <c r="H41" s="363" t="s">
        <v>91</v>
      </c>
      <c r="I41" s="364"/>
      <c r="J41" s="183">
        <f>IF(I21=D60,IF('Machinery Calculations (Corn)'!B5='Machinery(Corn)'!B49,0,'Machinery Calculations (Corn)'!V74),E41*G41)</f>
        <v>0</v>
      </c>
    </row>
    <row r="42" spans="2:15" ht="12.95" customHeight="1" x14ac:dyDescent="0.2">
      <c r="B42" s="152"/>
      <c r="C42" s="361" t="s">
        <v>72</v>
      </c>
      <c r="D42" s="362"/>
      <c r="E42" s="168">
        <v>1</v>
      </c>
      <c r="F42" s="168" t="s">
        <v>60</v>
      </c>
      <c r="G42" s="126">
        <v>0</v>
      </c>
      <c r="H42" s="365"/>
      <c r="I42" s="366"/>
      <c r="J42" s="183">
        <f>IF(I21=D60,'Machinery Calculations (Corn)'!Y74,E42*G42)</f>
        <v>62.295990503204649</v>
      </c>
    </row>
    <row r="43" spans="2:15" ht="12.95" customHeight="1" x14ac:dyDescent="0.2">
      <c r="B43" s="152"/>
      <c r="C43" s="332" t="s">
        <v>76</v>
      </c>
      <c r="D43" s="333"/>
      <c r="E43" s="152">
        <v>1</v>
      </c>
      <c r="F43" s="152" t="s">
        <v>60</v>
      </c>
      <c r="G43" s="122">
        <v>5</v>
      </c>
      <c r="H43" s="331"/>
      <c r="I43" s="331"/>
      <c r="J43" s="153">
        <f>E43*G43</f>
        <v>5</v>
      </c>
    </row>
    <row r="44" spans="2:15" ht="12.95" customHeight="1" x14ac:dyDescent="0.2">
      <c r="B44" s="152"/>
      <c r="C44" s="332" t="s">
        <v>149</v>
      </c>
      <c r="D44" s="333"/>
      <c r="E44" s="152">
        <v>1</v>
      </c>
      <c r="F44" s="152" t="s">
        <v>60</v>
      </c>
      <c r="G44" s="122">
        <v>10</v>
      </c>
      <c r="H44" s="331"/>
      <c r="I44" s="331"/>
      <c r="J44" s="155">
        <f>E44*G44</f>
        <v>10</v>
      </c>
    </row>
    <row r="45" spans="2:15" ht="15.75" x14ac:dyDescent="0.2">
      <c r="B45" s="340" t="s">
        <v>66</v>
      </c>
      <c r="C45" s="341"/>
      <c r="D45" s="341"/>
      <c r="E45" s="341"/>
      <c r="F45" s="341"/>
      <c r="G45" s="341"/>
      <c r="H45" s="341"/>
      <c r="I45" s="342"/>
      <c r="J45" s="182">
        <f>J38-(SUM(J41:J44))</f>
        <v>75.203729197465663</v>
      </c>
      <c r="K45" s="149" t="s">
        <v>75</v>
      </c>
    </row>
    <row r="46" spans="2:15" ht="12.95" customHeight="1" x14ac:dyDescent="0.2">
      <c r="B46" s="343"/>
      <c r="C46" s="344"/>
      <c r="D46" s="344"/>
      <c r="E46" s="344"/>
      <c r="F46" s="344"/>
      <c r="G46" s="344"/>
      <c r="H46" s="344"/>
      <c r="I46" s="344"/>
      <c r="J46" s="345"/>
    </row>
    <row r="47" spans="2:15" ht="15.75" x14ac:dyDescent="0.2">
      <c r="B47" s="358" t="str">
        <f>"Breakeven Yield: Var. Costs at " &amp; TEXT(G6,"$0.00") &amp;" /bu"</f>
        <v>Breakeven Yield: Var. Costs at $5.40 /bu</v>
      </c>
      <c r="C47" s="359"/>
      <c r="D47" s="360"/>
      <c r="E47" s="184">
        <f>J36/G6</f>
        <v>142.68523709246847</v>
      </c>
      <c r="F47" s="369" t="s">
        <v>67</v>
      </c>
      <c r="G47" s="370"/>
      <c r="H47" s="370"/>
      <c r="I47" s="370"/>
      <c r="J47" s="371"/>
      <c r="K47" s="132"/>
      <c r="L47" s="132"/>
      <c r="M47" s="132"/>
      <c r="N47" s="132"/>
      <c r="O47" s="132"/>
    </row>
    <row r="48" spans="2:15" ht="15.75" x14ac:dyDescent="0.2">
      <c r="B48" s="358" t="str">
        <f>"Breakeven Price: Var. Costs at " &amp; ROUND(E6,0) &amp;" bu/acre"</f>
        <v>Breakeven Price: Var. Costs at 170 bu/acre</v>
      </c>
      <c r="C48" s="359"/>
      <c r="D48" s="360"/>
      <c r="E48" s="185">
        <f>J36/E6</f>
        <v>4.532354589996058</v>
      </c>
      <c r="F48" s="369" t="s">
        <v>136</v>
      </c>
      <c r="G48" s="370"/>
      <c r="H48" s="370"/>
      <c r="I48" s="370"/>
      <c r="J48" s="371"/>
      <c r="K48" s="132"/>
      <c r="L48" s="132"/>
      <c r="M48" s="132"/>
      <c r="N48" s="132"/>
      <c r="O48" s="132"/>
    </row>
    <row r="49" spans="2:15" ht="15.75" x14ac:dyDescent="0.2">
      <c r="B49" s="358" t="str">
        <f>"Breakeven Price: All Costs at " &amp; ROUND(E6,0) &amp;" bu/acre"</f>
        <v>Breakeven Price: All Costs at 170 bu/acre</v>
      </c>
      <c r="C49" s="359"/>
      <c r="D49" s="360"/>
      <c r="E49" s="185">
        <f>(J36+SUM(J41:J44))/E6</f>
        <v>4.9870368870737316</v>
      </c>
      <c r="F49" s="369" t="s">
        <v>137</v>
      </c>
      <c r="G49" s="370"/>
      <c r="H49" s="370"/>
      <c r="I49" s="370"/>
      <c r="J49" s="371"/>
    </row>
    <row r="50" spans="2:15" x14ac:dyDescent="0.2">
      <c r="B50" s="372"/>
      <c r="C50" s="372"/>
      <c r="D50" s="372"/>
      <c r="E50" s="372"/>
      <c r="F50" s="372"/>
      <c r="G50" s="372"/>
      <c r="H50" s="372"/>
      <c r="I50" s="372"/>
      <c r="J50" s="372"/>
    </row>
    <row r="51" spans="2:15" x14ac:dyDescent="0.2">
      <c r="B51" s="374" t="s">
        <v>142</v>
      </c>
      <c r="C51" s="374"/>
      <c r="D51" s="374"/>
      <c r="E51" s="374"/>
      <c r="F51" s="374"/>
      <c r="G51" s="374"/>
      <c r="H51" s="374"/>
      <c r="I51" s="374"/>
      <c r="J51" s="374"/>
    </row>
    <row r="52" spans="2:15" ht="13.15" customHeight="1" x14ac:dyDescent="0.2">
      <c r="B52" s="373" t="s">
        <v>146</v>
      </c>
      <c r="C52" s="372"/>
      <c r="D52" s="372"/>
      <c r="E52" s="372"/>
      <c r="F52" s="372"/>
      <c r="G52" s="372"/>
      <c r="H52" s="372"/>
      <c r="I52" s="372"/>
      <c r="J52" s="372"/>
    </row>
    <row r="53" spans="2:15" ht="13.15" customHeight="1" x14ac:dyDescent="0.2">
      <c r="B53" s="373" t="s">
        <v>147</v>
      </c>
      <c r="C53" s="372"/>
      <c r="D53" s="372"/>
      <c r="E53" s="372"/>
      <c r="F53" s="372"/>
      <c r="G53" s="372"/>
      <c r="H53" s="372"/>
      <c r="I53" s="372"/>
      <c r="J53" s="372"/>
    </row>
    <row r="54" spans="2:15" x14ac:dyDescent="0.2">
      <c r="B54" s="373" t="s">
        <v>143</v>
      </c>
      <c r="C54" s="372"/>
      <c r="D54" s="372"/>
      <c r="E54" s="372"/>
      <c r="F54" s="372"/>
      <c r="G54" s="372"/>
      <c r="H54" s="372"/>
      <c r="I54" s="372"/>
      <c r="J54" s="372"/>
    </row>
    <row r="55" spans="2:15" x14ac:dyDescent="0.2">
      <c r="B55" s="372"/>
      <c r="C55" s="372"/>
      <c r="D55" s="372"/>
      <c r="E55" s="372"/>
      <c r="F55" s="372"/>
      <c r="G55" s="372"/>
      <c r="H55" s="372"/>
      <c r="I55" s="372"/>
      <c r="J55" s="372"/>
    </row>
    <row r="56" spans="2:15" x14ac:dyDescent="0.2">
      <c r="B56" s="305"/>
      <c r="C56" s="305"/>
      <c r="D56" s="305"/>
      <c r="E56" s="305"/>
      <c r="F56" s="305"/>
      <c r="G56" s="305"/>
      <c r="H56" s="305"/>
      <c r="I56" s="305"/>
      <c r="J56" s="305"/>
    </row>
    <row r="58" spans="2:15" ht="13.5" customHeight="1" x14ac:dyDescent="0.2"/>
    <row r="59" spans="2:15" ht="14.25" hidden="1" customHeight="1" x14ac:dyDescent="0.2">
      <c r="C59" s="149">
        <v>5</v>
      </c>
      <c r="D59" s="149" t="str">
        <f>'Machinery(Corn)'!B50</f>
        <v>N</v>
      </c>
    </row>
    <row r="60" spans="2:15" hidden="1" x14ac:dyDescent="0.2">
      <c r="C60" s="149">
        <v>6</v>
      </c>
      <c r="D60" s="149" t="str">
        <f>'Machinery(Corn)'!B49</f>
        <v>Y</v>
      </c>
    </row>
    <row r="61" spans="2:15" hidden="1" x14ac:dyDescent="0.2">
      <c r="C61" s="149">
        <v>7</v>
      </c>
      <c r="I61" s="132"/>
      <c r="M61" s="132"/>
    </row>
    <row r="62" spans="2:15" hidden="1" x14ac:dyDescent="0.2">
      <c r="C62" s="149">
        <v>8</v>
      </c>
      <c r="M62" s="132"/>
    </row>
    <row r="63" spans="2:15" hidden="1" x14ac:dyDescent="0.2">
      <c r="O63" s="132"/>
    </row>
    <row r="64" spans="2:15" hidden="1" x14ac:dyDescent="0.2">
      <c r="M64" s="132"/>
      <c r="N64" s="132"/>
      <c r="O64" s="132"/>
    </row>
    <row r="65" spans="3:18" hidden="1" x14ac:dyDescent="0.2">
      <c r="C65" s="132" t="s">
        <v>229</v>
      </c>
      <c r="M65" s="132"/>
      <c r="N65" s="132"/>
      <c r="O65" s="132"/>
    </row>
    <row r="66" spans="3:18" hidden="1" x14ac:dyDescent="0.2">
      <c r="C66" s="132" t="s">
        <v>240</v>
      </c>
      <c r="L66" s="132"/>
      <c r="M66" s="132"/>
      <c r="N66" s="132"/>
      <c r="O66" s="132"/>
    </row>
    <row r="67" spans="3:18" hidden="1" x14ac:dyDescent="0.2">
      <c r="L67" s="132"/>
      <c r="M67" s="132"/>
      <c r="N67" s="132"/>
      <c r="O67" s="132"/>
    </row>
    <row r="68" spans="3:18" hidden="1" x14ac:dyDescent="0.2"/>
    <row r="69" spans="3:18" hidden="1" x14ac:dyDescent="0.2">
      <c r="C69" s="132" t="s">
        <v>229</v>
      </c>
    </row>
    <row r="70" spans="3:18" hidden="1" x14ac:dyDescent="0.2">
      <c r="C70" s="186" t="str">
        <f>IF(I21=D59,"-","Calculate")</f>
        <v>Calculate</v>
      </c>
    </row>
    <row r="71" spans="3:18" ht="25.5" hidden="1" x14ac:dyDescent="0.2">
      <c r="N71" s="132" t="s">
        <v>208</v>
      </c>
      <c r="O71" s="132" t="s">
        <v>209</v>
      </c>
      <c r="P71" s="132" t="s">
        <v>210</v>
      </c>
      <c r="Q71" s="132"/>
      <c r="R71" s="187" t="s">
        <v>186</v>
      </c>
    </row>
    <row r="72" spans="3:18" hidden="1" x14ac:dyDescent="0.2">
      <c r="C72" s="149" t="s">
        <v>355</v>
      </c>
      <c r="L72" s="368" t="s">
        <v>187</v>
      </c>
      <c r="M72" s="368"/>
      <c r="N72" s="188"/>
      <c r="O72" s="188"/>
      <c r="P72" s="188"/>
      <c r="Q72" s="188"/>
      <c r="R72" s="189"/>
    </row>
    <row r="73" spans="3:18" hidden="1" x14ac:dyDescent="0.2">
      <c r="C73" s="149" t="s">
        <v>356</v>
      </c>
      <c r="M73" s="132" t="s">
        <v>188</v>
      </c>
      <c r="N73" s="188">
        <v>0.46</v>
      </c>
      <c r="O73" s="188"/>
      <c r="P73" s="188"/>
      <c r="Q73" s="188"/>
      <c r="R73" s="190" t="s">
        <v>189</v>
      </c>
    </row>
    <row r="74" spans="3:18" hidden="1" x14ac:dyDescent="0.2">
      <c r="M74" s="132" t="s">
        <v>190</v>
      </c>
      <c r="N74" s="188">
        <v>0.82</v>
      </c>
      <c r="O74" s="188"/>
      <c r="P74" s="188"/>
      <c r="Q74" s="188"/>
      <c r="R74" s="190" t="s">
        <v>191</v>
      </c>
    </row>
    <row r="75" spans="3:18" hidden="1" x14ac:dyDescent="0.2">
      <c r="C75" s="132" t="s">
        <v>217</v>
      </c>
      <c r="M75" s="132" t="s">
        <v>192</v>
      </c>
      <c r="N75" s="188">
        <v>0.32</v>
      </c>
      <c r="O75" s="188"/>
      <c r="P75" s="188"/>
      <c r="Q75" s="188"/>
      <c r="R75" s="190" t="s">
        <v>193</v>
      </c>
    </row>
    <row r="76" spans="3:18" hidden="1" x14ac:dyDescent="0.2">
      <c r="C76" s="132" t="s">
        <v>221</v>
      </c>
      <c r="M76" s="132" t="s">
        <v>194</v>
      </c>
      <c r="N76" s="188">
        <v>0.28000000000000003</v>
      </c>
      <c r="O76" s="188"/>
      <c r="P76" s="188"/>
      <c r="Q76" s="188"/>
      <c r="R76" s="190" t="s">
        <v>195</v>
      </c>
    </row>
    <row r="77" spans="3:18" hidden="1" x14ac:dyDescent="0.2">
      <c r="C77" s="132" t="s">
        <v>222</v>
      </c>
      <c r="L77" s="368" t="s">
        <v>196</v>
      </c>
      <c r="M77" s="368"/>
      <c r="N77" s="188"/>
      <c r="O77" s="188"/>
      <c r="P77" s="188"/>
      <c r="Q77" s="188"/>
      <c r="R77" s="190"/>
    </row>
    <row r="78" spans="3:18" hidden="1" x14ac:dyDescent="0.2">
      <c r="M78" s="132" t="s">
        <v>211</v>
      </c>
      <c r="N78" s="188"/>
      <c r="O78" s="188">
        <v>0.6</v>
      </c>
      <c r="P78" s="188"/>
      <c r="Q78" s="188"/>
      <c r="R78" s="190" t="s">
        <v>197</v>
      </c>
    </row>
    <row r="79" spans="3:18" hidden="1" x14ac:dyDescent="0.2">
      <c r="C79" s="132" t="s">
        <v>243</v>
      </c>
      <c r="M79" s="132" t="s">
        <v>198</v>
      </c>
      <c r="N79" s="188"/>
      <c r="O79" s="188">
        <v>0.5</v>
      </c>
      <c r="P79" s="188"/>
      <c r="Q79" s="188"/>
      <c r="R79" s="190" t="s">
        <v>199</v>
      </c>
    </row>
    <row r="80" spans="3:18" hidden="1" x14ac:dyDescent="0.2">
      <c r="C80" s="132" t="s">
        <v>244</v>
      </c>
      <c r="L80" s="368" t="s">
        <v>200</v>
      </c>
      <c r="M80" s="368"/>
      <c r="N80" s="188"/>
      <c r="O80" s="188"/>
      <c r="P80" s="188"/>
      <c r="Q80" s="188"/>
      <c r="R80" s="191"/>
    </row>
    <row r="81" spans="3:18" hidden="1" x14ac:dyDescent="0.2">
      <c r="C81" s="132"/>
      <c r="M81" s="132" t="s">
        <v>201</v>
      </c>
      <c r="N81" s="188">
        <v>0.11</v>
      </c>
      <c r="O81" s="188"/>
      <c r="P81" s="188">
        <v>0.52</v>
      </c>
      <c r="Q81" s="188"/>
      <c r="R81" s="190" t="s">
        <v>202</v>
      </c>
    </row>
    <row r="82" spans="3:18" hidden="1" x14ac:dyDescent="0.2">
      <c r="M82" s="132" t="s">
        <v>203</v>
      </c>
      <c r="N82" s="188">
        <v>0.18</v>
      </c>
      <c r="O82" s="188"/>
      <c r="P82" s="188">
        <v>0.46</v>
      </c>
      <c r="Q82" s="188"/>
      <c r="R82" s="190" t="s">
        <v>204</v>
      </c>
    </row>
    <row r="83" spans="3:18" hidden="1" x14ac:dyDescent="0.2">
      <c r="C83" s="132" t="s">
        <v>235</v>
      </c>
      <c r="M83" s="132" t="s">
        <v>205</v>
      </c>
      <c r="N83" s="188">
        <v>0.1</v>
      </c>
      <c r="O83" s="188"/>
      <c r="P83" s="188">
        <v>0.34</v>
      </c>
      <c r="Q83" s="188"/>
      <c r="R83" s="190" t="s">
        <v>205</v>
      </c>
    </row>
    <row r="84" spans="3:18" hidden="1" x14ac:dyDescent="0.2">
      <c r="C84" s="132" t="s">
        <v>262</v>
      </c>
      <c r="L84" s="368" t="s">
        <v>206</v>
      </c>
      <c r="M84" s="368"/>
      <c r="N84" s="188"/>
      <c r="O84" s="188"/>
      <c r="P84" s="188"/>
      <c r="Q84" s="188"/>
      <c r="R84" s="192"/>
    </row>
    <row r="85" spans="3:18" hidden="1" x14ac:dyDescent="0.2">
      <c r="M85" s="132" t="s">
        <v>212</v>
      </c>
      <c r="N85" s="188">
        <v>0.19</v>
      </c>
      <c r="O85" s="188">
        <v>0.19</v>
      </c>
      <c r="P85" s="188">
        <v>0.19</v>
      </c>
      <c r="Q85" s="188"/>
      <c r="R85" s="190" t="s">
        <v>207</v>
      </c>
    </row>
    <row r="86" spans="3:18" hidden="1" x14ac:dyDescent="0.2">
      <c r="C86" s="193" t="str">
        <f>IF(D26=C69,C84,C27)</f>
        <v>Include Trucking in Machinery Costs</v>
      </c>
    </row>
    <row r="87" spans="3:18" hidden="1" x14ac:dyDescent="0.2">
      <c r="O87" s="194"/>
    </row>
    <row r="88" spans="3:18" hidden="1" x14ac:dyDescent="0.2">
      <c r="C88" s="132" t="s">
        <v>354</v>
      </c>
      <c r="O88" s="132"/>
    </row>
    <row r="89" spans="3:18" hidden="1" x14ac:dyDescent="0.2">
      <c r="C89" s="132" t="s">
        <v>259</v>
      </c>
      <c r="O89" s="132"/>
    </row>
    <row r="90" spans="3:18" hidden="1" x14ac:dyDescent="0.2">
      <c r="C90" s="132" t="s">
        <v>357</v>
      </c>
    </row>
    <row r="91" spans="3:18" hidden="1" x14ac:dyDescent="0.2">
      <c r="C91" s="132" t="s">
        <v>261</v>
      </c>
    </row>
    <row r="92" spans="3:18" hidden="1" x14ac:dyDescent="0.2"/>
    <row r="93" spans="3:18" hidden="1" x14ac:dyDescent="0.2"/>
    <row r="94" spans="3:18" hidden="1" x14ac:dyDescent="0.2">
      <c r="C94" s="193" t="str">
        <f>IF(I21=D59,C69,D26)</f>
        <v>Calculate</v>
      </c>
    </row>
    <row r="95" spans="3:18" hidden="1" x14ac:dyDescent="0.2"/>
    <row r="96" spans="3:18" hidden="1" x14ac:dyDescent="0.2">
      <c r="C96" s="132" t="s">
        <v>402</v>
      </c>
      <c r="D96" s="195"/>
      <c r="E96" s="195"/>
      <c r="F96" s="195"/>
      <c r="G96" s="195"/>
      <c r="H96" s="195"/>
      <c r="I96" s="195"/>
      <c r="J96" s="195"/>
      <c r="K96" s="195"/>
      <c r="L96" s="195"/>
      <c r="M96" s="195"/>
      <c r="N96" s="196"/>
      <c r="O96" s="196"/>
    </row>
    <row r="97" spans="3:15" hidden="1" x14ac:dyDescent="0.2">
      <c r="C97" s="197" t="s">
        <v>403</v>
      </c>
      <c r="D97" s="196"/>
      <c r="E97" s="196"/>
      <c r="F97" s="196"/>
      <c r="G97" s="196"/>
      <c r="H97" s="196"/>
      <c r="I97" s="196"/>
      <c r="J97" s="196"/>
      <c r="K97" s="196"/>
      <c r="L97" s="196"/>
      <c r="M97" s="196"/>
      <c r="N97" s="196"/>
      <c r="O97" s="196"/>
    </row>
    <row r="98" spans="3:15" ht="12.75" customHeight="1" x14ac:dyDescent="0.2">
      <c r="C98" s="196"/>
      <c r="D98" s="196"/>
      <c r="E98" s="196"/>
      <c r="F98" s="196"/>
      <c r="G98" s="196"/>
      <c r="H98" s="196"/>
      <c r="I98" s="196"/>
      <c r="J98" s="196"/>
      <c r="K98" s="196"/>
      <c r="L98" s="196"/>
      <c r="M98" s="196"/>
      <c r="N98" s="196"/>
      <c r="O98" s="196"/>
    </row>
    <row r="99" spans="3:15" x14ac:dyDescent="0.2">
      <c r="C99" s="196"/>
      <c r="D99" s="196"/>
      <c r="E99" s="196"/>
      <c r="F99" s="196"/>
      <c r="G99" s="196"/>
      <c r="H99" s="196"/>
      <c r="I99" s="196"/>
      <c r="J99" s="196"/>
      <c r="K99" s="196"/>
      <c r="L99" s="196"/>
      <c r="M99" s="196"/>
      <c r="N99" s="196"/>
      <c r="O99" s="196"/>
    </row>
    <row r="100" spans="3:15" x14ac:dyDescent="0.2">
      <c r="D100" s="196"/>
      <c r="E100" s="196"/>
      <c r="F100" s="196"/>
      <c r="G100" s="196"/>
      <c r="H100" s="196"/>
      <c r="I100" s="196"/>
      <c r="J100" s="196"/>
      <c r="K100" s="196"/>
      <c r="L100" s="196"/>
      <c r="M100" s="196"/>
      <c r="N100" s="196"/>
      <c r="O100" s="196"/>
    </row>
    <row r="101" spans="3:15" x14ac:dyDescent="0.2">
      <c r="D101" s="196"/>
      <c r="E101" s="196"/>
      <c r="F101" s="196"/>
      <c r="G101" s="196"/>
      <c r="H101" s="196"/>
      <c r="I101" s="196"/>
      <c r="J101" s="196"/>
      <c r="K101" s="196"/>
      <c r="L101" s="196"/>
      <c r="M101" s="196"/>
      <c r="N101" s="196"/>
      <c r="O101" s="196"/>
    </row>
    <row r="102" spans="3:15" x14ac:dyDescent="0.2">
      <c r="D102" s="196"/>
      <c r="E102" s="196"/>
      <c r="F102" s="196"/>
      <c r="G102" s="196"/>
      <c r="H102" s="196"/>
      <c r="I102" s="196"/>
      <c r="J102" s="196"/>
      <c r="K102" s="196"/>
      <c r="L102" s="196"/>
      <c r="M102" s="196"/>
      <c r="N102" s="196"/>
      <c r="O102" s="196"/>
    </row>
    <row r="103" spans="3:15" x14ac:dyDescent="0.2">
      <c r="D103" s="196"/>
      <c r="E103" s="196"/>
      <c r="F103" s="196"/>
      <c r="G103" s="196"/>
      <c r="H103" s="196"/>
      <c r="I103" s="196"/>
      <c r="J103" s="196"/>
      <c r="K103" s="196"/>
      <c r="L103" s="196"/>
      <c r="M103" s="196"/>
      <c r="N103" s="196"/>
      <c r="O103" s="196"/>
    </row>
    <row r="104" spans="3:15" x14ac:dyDescent="0.2">
      <c r="D104" s="196"/>
      <c r="E104" s="196"/>
      <c r="F104" s="196"/>
      <c r="G104" s="196"/>
      <c r="H104" s="196"/>
      <c r="I104" s="196"/>
      <c r="J104" s="196"/>
      <c r="K104" s="196"/>
      <c r="L104" s="196"/>
      <c r="M104" s="196"/>
      <c r="N104" s="196"/>
      <c r="O104" s="196"/>
    </row>
    <row r="105" spans="3:15" x14ac:dyDescent="0.2">
      <c r="D105" s="196"/>
      <c r="E105" s="196"/>
      <c r="F105" s="196"/>
      <c r="G105" s="196"/>
      <c r="H105" s="196"/>
      <c r="I105" s="196"/>
      <c r="J105" s="196"/>
      <c r="K105" s="196"/>
      <c r="L105" s="196"/>
      <c r="M105" s="196"/>
      <c r="N105" s="196"/>
      <c r="O105" s="196"/>
    </row>
  </sheetData>
  <sheetProtection algorithmName="SHA-512" hashValue="R9BPbxGhhkPqUx6Cmcgh5Yzyp9nFxIc0Wz1ldw/zRuR4jaxdbWl/ZOyZY3GbeEGMViSNjRsWXw7McssPt+WieQ==" saltValue="UIFasGtD6X9tN5sQusHeOg==" spinCount="100000" sheet="1" objects="1" scenarios="1" formatCells="0" formatColumns="0" formatRows="0"/>
  <mergeCells count="93">
    <mergeCell ref="P11:P12"/>
    <mergeCell ref="Q11:Q12"/>
    <mergeCell ref="O11:O12"/>
    <mergeCell ref="N11:N12"/>
    <mergeCell ref="L11:M12"/>
    <mergeCell ref="V11:V12"/>
    <mergeCell ref="U11:U12"/>
    <mergeCell ref="T11:T12"/>
    <mergeCell ref="S11:S12"/>
    <mergeCell ref="R11:R12"/>
    <mergeCell ref="H36:I36"/>
    <mergeCell ref="H28:I28"/>
    <mergeCell ref="C29:D29"/>
    <mergeCell ref="C33:D33"/>
    <mergeCell ref="H33:I33"/>
    <mergeCell ref="H31:I31"/>
    <mergeCell ref="C35:D35"/>
    <mergeCell ref="B36:D36"/>
    <mergeCell ref="C34:D34"/>
    <mergeCell ref="C31:D31"/>
    <mergeCell ref="C28:D28"/>
    <mergeCell ref="C22:D22"/>
    <mergeCell ref="C21:D21"/>
    <mergeCell ref="H34:I34"/>
    <mergeCell ref="C27:D27"/>
    <mergeCell ref="I26:I27"/>
    <mergeCell ref="H26:H27"/>
    <mergeCell ref="I21:I25"/>
    <mergeCell ref="H21:H25"/>
    <mergeCell ref="C23:D23"/>
    <mergeCell ref="L84:M84"/>
    <mergeCell ref="B45:I45"/>
    <mergeCell ref="F49:J49"/>
    <mergeCell ref="F47:J47"/>
    <mergeCell ref="F48:J48"/>
    <mergeCell ref="B46:J46"/>
    <mergeCell ref="B50:J50"/>
    <mergeCell ref="B54:J54"/>
    <mergeCell ref="B55:J55"/>
    <mergeCell ref="B51:J51"/>
    <mergeCell ref="B52:J52"/>
    <mergeCell ref="B53:J53"/>
    <mergeCell ref="L72:M72"/>
    <mergeCell ref="L77:M77"/>
    <mergeCell ref="B49:D49"/>
    <mergeCell ref="L80:M80"/>
    <mergeCell ref="B48:D48"/>
    <mergeCell ref="B47:D47"/>
    <mergeCell ref="B37:J37"/>
    <mergeCell ref="C24:D24"/>
    <mergeCell ref="H41:I42"/>
    <mergeCell ref="H43:I43"/>
    <mergeCell ref="H44:I44"/>
    <mergeCell ref="E40:J40"/>
    <mergeCell ref="B38:I38"/>
    <mergeCell ref="B39:J39"/>
    <mergeCell ref="C44:D44"/>
    <mergeCell ref="C43:D43"/>
    <mergeCell ref="C42:D42"/>
    <mergeCell ref="C41:D41"/>
    <mergeCell ref="B40:D40"/>
    <mergeCell ref="C25:D25"/>
    <mergeCell ref="B2:J2"/>
    <mergeCell ref="H4:I4"/>
    <mergeCell ref="H6:I6"/>
    <mergeCell ref="H8:I8"/>
    <mergeCell ref="E5:J5"/>
    <mergeCell ref="H7:I7"/>
    <mergeCell ref="B3:J3"/>
    <mergeCell ref="C8:D8"/>
    <mergeCell ref="C7:D7"/>
    <mergeCell ref="C6:D6"/>
    <mergeCell ref="B4:D4"/>
    <mergeCell ref="E11:J11"/>
    <mergeCell ref="B10:J10"/>
    <mergeCell ref="C12:D12"/>
    <mergeCell ref="B9:D9"/>
    <mergeCell ref="B11:D11"/>
    <mergeCell ref="H9:I9"/>
    <mergeCell ref="H12:I12"/>
    <mergeCell ref="C13:D13"/>
    <mergeCell ref="H20:I20"/>
    <mergeCell ref="C20:D20"/>
    <mergeCell ref="C15:D15"/>
    <mergeCell ref="C14:D14"/>
    <mergeCell ref="H17:I17"/>
    <mergeCell ref="H18:I18"/>
    <mergeCell ref="C18:D18"/>
    <mergeCell ref="C17:D17"/>
    <mergeCell ref="C16:D16"/>
    <mergeCell ref="H13:I15"/>
    <mergeCell ref="C19:D19"/>
    <mergeCell ref="H19:I19"/>
  </mergeCells>
  <phoneticPr fontId="6" type="noConversion"/>
  <conditionalFormatting sqref="E21:G25 E41:G42">
    <cfRule type="expression" dxfId="54" priority="401">
      <formula>$I$21=$D$60</formula>
    </cfRule>
  </conditionalFormatting>
  <conditionalFormatting sqref="E26:G26">
    <cfRule type="expression" dxfId="53" priority="265">
      <formula>$C$94=$C$70</formula>
    </cfRule>
  </conditionalFormatting>
  <conditionalFormatting sqref="E30:G30">
    <cfRule type="expression" dxfId="52" priority="396">
      <formula>$D$30=$C$66</formula>
    </cfRule>
  </conditionalFormatting>
  <conditionalFormatting sqref="E32:G32">
    <cfRule type="expression" dxfId="51" priority="314">
      <formula>$D$32=$C$80</formula>
    </cfRule>
  </conditionalFormatting>
  <conditionalFormatting sqref="H26:I27 C27:G27 J27">
    <cfRule type="expression" dxfId="50" priority="403">
      <formula>$I$21=$D$59</formula>
    </cfRule>
  </conditionalFormatting>
  <conditionalFormatting sqref="H26:I27 C27:G27">
    <cfRule type="expression" dxfId="49" priority="397">
      <formula>$D$26=$C$69</formula>
    </cfRule>
  </conditionalFormatting>
  <conditionalFormatting sqref="H32:I32">
    <cfRule type="expression" dxfId="48" priority="400">
      <formula>$D$32=$C$79</formula>
    </cfRule>
  </conditionalFormatting>
  <dataValidations count="9">
    <dataValidation type="list" allowBlank="1" showInputMessage="1" showErrorMessage="1" sqref="M13" xr:uid="{00000000-0002-0000-0200-000000000000}">
      <formula1>$M$73:$M$76</formula1>
    </dataValidation>
    <dataValidation type="list" allowBlank="1" showInputMessage="1" showErrorMessage="1" sqref="M14" xr:uid="{00000000-0002-0000-0200-000001000000}">
      <formula1>$M$81:$M$83</formula1>
    </dataValidation>
    <dataValidation type="list" allowBlank="1" showInputMessage="1" showErrorMessage="1" sqref="M15" xr:uid="{00000000-0002-0000-0200-000002000000}">
      <formula1>$M$78:$M$79</formula1>
    </dataValidation>
    <dataValidation type="list" allowBlank="1" showInputMessage="1" showErrorMessage="1" sqref="D30" xr:uid="{00000000-0002-0000-0200-000003000000}">
      <formula1>$C$65:$C$66</formula1>
    </dataValidation>
    <dataValidation type="list" allowBlank="1" showInputMessage="1" showErrorMessage="1" sqref="D26" xr:uid="{00000000-0002-0000-0200-000004000000}">
      <formula1>$C$69:$C$70</formula1>
    </dataValidation>
    <dataValidation type="list" allowBlank="1" showInputMessage="1" showErrorMessage="1" sqref="D32" xr:uid="{00000000-0002-0000-0200-000005000000}">
      <formula1>$C$79:$C$80</formula1>
    </dataValidation>
    <dataValidation type="list" allowBlank="1" showInputMessage="1" showErrorMessage="1" sqref="C27" xr:uid="{00000000-0002-0000-0200-000006000000}">
      <formula1>$C$83:$C$84</formula1>
    </dataValidation>
    <dataValidation type="list" allowBlank="1" showInputMessage="1" showErrorMessage="1" sqref="I21" xr:uid="{00000000-0002-0000-0200-000007000000}">
      <formula1>$D$59:$D$60</formula1>
    </dataValidation>
    <dataValidation type="list" allowBlank="1" showInputMessage="1" showErrorMessage="1" sqref="I35" xr:uid="{00000000-0002-0000-0200-000008000000}">
      <formula1>$C$59:$C$62</formula1>
    </dataValidation>
  </dataValidations>
  <pageMargins left="0.75" right="0.75" top="1" bottom="1"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81"/>
  <sheetViews>
    <sheetView topLeftCell="G1" workbookViewId="0">
      <pane ySplit="17" topLeftCell="A54" activePane="bottomLeft" state="frozen"/>
      <selection activeCell="H25" sqref="H25"/>
      <selection pane="bottomLeft" activeCell="AA81" sqref="AA81"/>
    </sheetView>
  </sheetViews>
  <sheetFormatPr defaultRowHeight="12.75" x14ac:dyDescent="0.2"/>
  <cols>
    <col min="1" max="1" width="33.5703125" customWidth="1"/>
    <col min="2" max="6" width="9.140625" customWidth="1"/>
    <col min="7" max="7" width="9.7109375" customWidth="1"/>
    <col min="8" max="8" width="8.5703125" customWidth="1"/>
    <col min="9" max="11" width="7.85546875" customWidth="1"/>
    <col min="12" max="12" width="9" customWidth="1"/>
    <col min="13" max="13" width="7.5703125" customWidth="1"/>
    <col min="14" max="14" width="9.85546875" customWidth="1"/>
    <col min="15" max="16" width="7.140625" customWidth="1"/>
    <col min="17" max="17" width="9.140625" customWidth="1"/>
    <col min="18" max="18" width="8.42578125" customWidth="1"/>
    <col min="19" max="19" width="8.7109375" customWidth="1"/>
    <col min="20" max="20" width="4.7109375" customWidth="1"/>
    <col min="21" max="21" width="8.5703125" customWidth="1"/>
    <col min="22" max="22" width="8.140625" customWidth="1"/>
    <col min="23" max="23" width="8.7109375" customWidth="1"/>
    <col min="24" max="24" width="8.42578125" customWidth="1"/>
    <col min="25" max="25" width="8.5703125" customWidth="1"/>
    <col min="26" max="26" width="8.42578125" customWidth="1"/>
  </cols>
  <sheetData>
    <row r="1" spans="1:28" ht="18" x14ac:dyDescent="0.25">
      <c r="A1" s="423" t="s">
        <v>120</v>
      </c>
      <c r="B1" s="424"/>
      <c r="C1" s="424"/>
      <c r="D1" s="424"/>
      <c r="E1" s="424"/>
      <c r="F1" s="424"/>
      <c r="G1" s="424"/>
      <c r="H1" s="424"/>
      <c r="I1" s="424"/>
      <c r="J1" s="424"/>
      <c r="K1" s="424"/>
      <c r="L1" s="424"/>
      <c r="M1" s="424"/>
      <c r="N1" s="424"/>
      <c r="O1" s="424"/>
      <c r="P1" s="424"/>
      <c r="Q1" s="424"/>
      <c r="R1" s="424"/>
      <c r="S1" s="424"/>
      <c r="T1" s="424"/>
      <c r="U1" s="424"/>
      <c r="V1" s="424"/>
      <c r="W1" s="424"/>
      <c r="X1" s="424"/>
      <c r="Y1" s="424"/>
      <c r="Z1" s="425"/>
    </row>
    <row r="2" spans="1:28" x14ac:dyDescent="0.2">
      <c r="A2" s="19" t="s">
        <v>183</v>
      </c>
      <c r="B2" s="78">
        <v>2</v>
      </c>
      <c r="C2" s="19"/>
      <c r="D2" s="428" t="s">
        <v>110</v>
      </c>
      <c r="E2" s="428"/>
      <c r="F2" s="428"/>
      <c r="G2" s="428"/>
      <c r="H2" s="428"/>
      <c r="I2" s="428"/>
      <c r="J2" s="428"/>
      <c r="K2" s="428"/>
      <c r="L2" s="428"/>
      <c r="M2" s="428"/>
      <c r="N2" s="428"/>
      <c r="O2" s="428"/>
      <c r="P2" s="428"/>
      <c r="Q2" s="428"/>
      <c r="R2" s="428"/>
      <c r="S2" s="428"/>
      <c r="T2" s="428"/>
      <c r="U2" s="428"/>
      <c r="V2" s="428"/>
      <c r="W2" s="428"/>
      <c r="X2" s="428"/>
      <c r="Y2" s="428"/>
      <c r="Z2" s="428"/>
    </row>
    <row r="3" spans="1:28" x14ac:dyDescent="0.2">
      <c r="A3" s="19" t="s">
        <v>182</v>
      </c>
      <c r="B3" s="79">
        <f>'Machinery(Corn)'!C5</f>
        <v>3.5</v>
      </c>
      <c r="C3" s="19"/>
      <c r="D3" s="429" t="s">
        <v>98</v>
      </c>
      <c r="E3" s="429"/>
      <c r="F3" s="429"/>
      <c r="G3" s="429"/>
      <c r="H3" s="429"/>
      <c r="I3" s="429"/>
      <c r="J3" s="429"/>
      <c r="K3" s="429"/>
      <c r="L3" s="429"/>
      <c r="M3" s="429"/>
      <c r="N3" s="429"/>
      <c r="O3" s="429"/>
      <c r="P3" s="429"/>
      <c r="Q3" s="429"/>
      <c r="R3" s="429"/>
      <c r="S3" s="429"/>
      <c r="T3" s="429"/>
      <c r="U3" s="429"/>
      <c r="V3" s="429"/>
      <c r="W3" s="429"/>
      <c r="X3" s="429"/>
      <c r="Y3" s="429"/>
      <c r="Z3" s="429"/>
    </row>
    <row r="4" spans="1:28" x14ac:dyDescent="0.2">
      <c r="A4" s="4" t="s">
        <v>68</v>
      </c>
      <c r="B4" s="79">
        <f>'Machinery(Corn)'!C6</f>
        <v>20</v>
      </c>
      <c r="C4" s="4"/>
      <c r="D4" s="429" t="s">
        <v>100</v>
      </c>
      <c r="E4" s="429"/>
      <c r="F4" s="429"/>
      <c r="G4" s="429"/>
      <c r="H4" s="429"/>
      <c r="I4" s="429"/>
      <c r="J4" s="429"/>
      <c r="K4" s="429"/>
      <c r="L4" s="429"/>
      <c r="M4" s="429"/>
      <c r="N4" s="429"/>
      <c r="O4" s="429"/>
      <c r="P4" s="429"/>
      <c r="Q4" s="429"/>
      <c r="R4" s="429"/>
      <c r="S4" s="429"/>
      <c r="T4" s="429"/>
      <c r="U4" s="429"/>
      <c r="V4" s="429"/>
      <c r="W4" s="429"/>
      <c r="X4" s="429"/>
      <c r="Y4" s="429"/>
      <c r="Z4" s="429"/>
    </row>
    <row r="5" spans="1:28" x14ac:dyDescent="0.2">
      <c r="A5" s="4" t="s">
        <v>115</v>
      </c>
      <c r="B5" s="79" t="str">
        <f>'Machinery(Corn)'!C7</f>
        <v>Y</v>
      </c>
      <c r="C5" s="4"/>
      <c r="D5" s="429" t="s">
        <v>106</v>
      </c>
      <c r="E5" s="429"/>
      <c r="F5" s="429"/>
      <c r="G5" s="429"/>
      <c r="H5" s="429"/>
      <c r="I5" s="429"/>
      <c r="J5" s="429"/>
      <c r="K5" s="429"/>
      <c r="L5" s="429"/>
      <c r="M5" s="429"/>
      <c r="N5" s="429"/>
      <c r="O5" s="429"/>
      <c r="P5" s="429"/>
      <c r="Q5" s="429"/>
      <c r="R5" s="429"/>
      <c r="S5" s="429"/>
      <c r="T5" s="429"/>
      <c r="U5" s="429"/>
      <c r="V5" s="429"/>
      <c r="W5" s="429"/>
      <c r="X5" s="429"/>
      <c r="Y5" s="429"/>
      <c r="Z5" s="429"/>
    </row>
    <row r="6" spans="1:28" x14ac:dyDescent="0.2">
      <c r="A6" s="4" t="s">
        <v>69</v>
      </c>
      <c r="B6" s="79">
        <f>'Machinery(Corn)'!C8</f>
        <v>15</v>
      </c>
      <c r="C6" s="4"/>
      <c r="D6" s="429" t="s">
        <v>99</v>
      </c>
      <c r="E6" s="429"/>
      <c r="F6" s="429"/>
      <c r="G6" s="429"/>
      <c r="H6" s="429"/>
      <c r="I6" s="429"/>
      <c r="J6" s="429"/>
      <c r="K6" s="429"/>
      <c r="L6" s="429"/>
      <c r="M6" s="429"/>
      <c r="N6" s="429"/>
      <c r="O6" s="429"/>
      <c r="P6" s="429"/>
      <c r="Q6" s="429"/>
      <c r="R6" s="429"/>
      <c r="S6" s="429"/>
      <c r="T6" s="429"/>
      <c r="U6" s="429"/>
      <c r="V6" s="429"/>
      <c r="W6" s="429"/>
      <c r="X6" s="429"/>
      <c r="Y6" s="429"/>
      <c r="Z6" s="429"/>
    </row>
    <row r="7" spans="1:28" x14ac:dyDescent="0.2">
      <c r="A7" s="4" t="s">
        <v>70</v>
      </c>
      <c r="B7" s="81">
        <f>'Machinery(Corn)'!C9</f>
        <v>0</v>
      </c>
      <c r="C7" s="4"/>
      <c r="D7" s="429" t="s">
        <v>107</v>
      </c>
      <c r="E7" s="429"/>
      <c r="F7" s="429"/>
      <c r="G7" s="429"/>
      <c r="H7" s="429"/>
      <c r="I7" s="429"/>
      <c r="J7" s="429"/>
      <c r="K7" s="429"/>
      <c r="L7" s="429"/>
      <c r="M7" s="429"/>
      <c r="N7" s="429"/>
      <c r="O7" s="429"/>
      <c r="P7" s="429"/>
      <c r="Q7" s="429"/>
      <c r="R7" s="429"/>
      <c r="S7" s="429"/>
      <c r="T7" s="429"/>
      <c r="U7" s="429"/>
      <c r="V7" s="429"/>
      <c r="W7" s="429"/>
      <c r="X7" s="429"/>
      <c r="Y7" s="429"/>
      <c r="Z7" s="429"/>
    </row>
    <row r="8" spans="1:28" x14ac:dyDescent="0.2">
      <c r="A8" s="4" t="s">
        <v>103</v>
      </c>
      <c r="B8" s="31">
        <f>Corn!I26</f>
        <v>35</v>
      </c>
      <c r="C8" s="4"/>
      <c r="D8" s="429" t="s">
        <v>119</v>
      </c>
      <c r="E8" s="429"/>
      <c r="F8" s="429"/>
      <c r="G8" s="429"/>
      <c r="H8" s="429"/>
      <c r="I8" s="429"/>
      <c r="J8" s="429"/>
      <c r="K8" s="429"/>
      <c r="L8" s="429"/>
      <c r="M8" s="429"/>
      <c r="N8" s="429"/>
      <c r="O8" s="429"/>
      <c r="P8" s="429"/>
      <c r="Q8" s="429"/>
      <c r="R8" s="429"/>
      <c r="S8" s="429"/>
      <c r="T8" s="429"/>
      <c r="U8" s="429"/>
      <c r="V8" s="429"/>
      <c r="W8" s="429"/>
      <c r="X8" s="429"/>
      <c r="Y8" s="429"/>
      <c r="Z8" s="429"/>
    </row>
    <row r="9" spans="1:28" x14ac:dyDescent="0.2">
      <c r="A9" s="427" t="s">
        <v>104</v>
      </c>
      <c r="B9" s="427"/>
      <c r="C9" s="427"/>
      <c r="D9" s="427"/>
      <c r="E9" s="427"/>
      <c r="F9" s="427"/>
      <c r="G9" s="427"/>
      <c r="H9" s="426" t="s">
        <v>108</v>
      </c>
      <c r="I9" s="415"/>
      <c r="J9" s="415"/>
      <c r="K9" s="415"/>
      <c r="L9" s="415"/>
      <c r="M9" s="415"/>
      <c r="N9" s="415"/>
      <c r="O9" s="415"/>
      <c r="P9" s="415"/>
      <c r="Q9" s="415"/>
      <c r="R9" s="415"/>
      <c r="S9" s="415"/>
      <c r="T9" s="415"/>
      <c r="U9" s="415"/>
      <c r="V9" s="415"/>
      <c r="W9" s="415"/>
      <c r="X9" s="415"/>
      <c r="Y9" s="415"/>
      <c r="Z9" s="416"/>
    </row>
    <row r="10" spans="1:28" x14ac:dyDescent="0.2">
      <c r="A10" s="427" t="s">
        <v>105</v>
      </c>
      <c r="B10" s="427"/>
      <c r="C10" s="427"/>
      <c r="D10" s="427"/>
      <c r="E10" s="427"/>
      <c r="F10" s="427"/>
      <c r="G10" s="427"/>
      <c r="H10" s="426" t="s">
        <v>121</v>
      </c>
      <c r="I10" s="415"/>
      <c r="J10" s="415"/>
      <c r="K10" s="415"/>
      <c r="L10" s="415"/>
      <c r="M10" s="415"/>
      <c r="N10" s="415"/>
      <c r="O10" s="415"/>
      <c r="P10" s="415"/>
      <c r="Q10" s="415"/>
      <c r="R10" s="415"/>
      <c r="S10" s="415"/>
      <c r="T10" s="415"/>
      <c r="U10" s="415"/>
      <c r="V10" s="415"/>
      <c r="W10" s="415"/>
      <c r="X10" s="415"/>
      <c r="Y10" s="415"/>
      <c r="Z10" s="416"/>
    </row>
    <row r="11" spans="1:28" x14ac:dyDescent="0.2">
      <c r="A11" s="427" t="s">
        <v>118</v>
      </c>
      <c r="B11" s="427"/>
      <c r="C11" s="427"/>
      <c r="D11" s="427"/>
      <c r="E11" s="427"/>
      <c r="F11" s="427"/>
      <c r="G11" s="427"/>
      <c r="H11" s="426" t="s">
        <v>122</v>
      </c>
      <c r="I11" s="415"/>
      <c r="J11" s="415"/>
      <c r="K11" s="415"/>
      <c r="L11" s="415"/>
      <c r="M11" s="415"/>
      <c r="N11" s="415"/>
      <c r="O11" s="415"/>
      <c r="P11" s="415"/>
      <c r="Q11" s="415"/>
      <c r="R11" s="415"/>
      <c r="S11" s="415"/>
      <c r="T11" s="415"/>
      <c r="U11" s="415"/>
      <c r="V11" s="415"/>
      <c r="W11" s="415"/>
      <c r="X11" s="415"/>
      <c r="Y11" s="415"/>
      <c r="Z11" s="416"/>
    </row>
    <row r="12" spans="1:28" x14ac:dyDescent="0.2">
      <c r="A12" s="19" t="s">
        <v>82</v>
      </c>
      <c r="B12" s="82">
        <v>0.33</v>
      </c>
      <c r="C12" s="4"/>
      <c r="D12" s="4"/>
      <c r="F12" s="82"/>
      <c r="G12" s="82"/>
      <c r="H12" s="414"/>
      <c r="I12" s="415"/>
      <c r="J12" s="415"/>
      <c r="K12" s="415"/>
      <c r="L12" s="415"/>
      <c r="M12" s="415"/>
      <c r="N12" s="415"/>
      <c r="O12" s="415"/>
      <c r="P12" s="415"/>
      <c r="Q12" s="415"/>
      <c r="R12" s="415"/>
      <c r="S12" s="415"/>
      <c r="T12" s="415"/>
      <c r="U12" s="415"/>
      <c r="V12" s="415"/>
      <c r="W12" s="415"/>
      <c r="X12" s="415"/>
      <c r="Y12" s="415"/>
      <c r="Z12" s="416"/>
    </row>
    <row r="13" spans="1:28" x14ac:dyDescent="0.2">
      <c r="A13" s="66" t="s">
        <v>375</v>
      </c>
      <c r="B13" s="107">
        <v>0.15</v>
      </c>
      <c r="C13" s="4"/>
      <c r="D13" s="4"/>
      <c r="E13" s="82"/>
      <c r="F13" s="82"/>
      <c r="G13" s="82"/>
      <c r="H13" s="106"/>
      <c r="I13" s="104"/>
      <c r="J13" s="104"/>
      <c r="K13" s="104"/>
      <c r="L13" s="104"/>
      <c r="M13" s="104"/>
      <c r="N13" s="104"/>
      <c r="O13" s="104"/>
      <c r="P13" s="104"/>
      <c r="Q13" s="104"/>
      <c r="R13" s="104"/>
      <c r="S13" s="104"/>
      <c r="T13" s="104"/>
      <c r="U13" s="102"/>
      <c r="V13" s="102"/>
      <c r="W13" s="102"/>
      <c r="X13" s="102"/>
      <c r="Y13" s="102"/>
      <c r="Z13" s="103"/>
    </row>
    <row r="14" spans="1:28" ht="13.15" customHeight="1" x14ac:dyDescent="0.2">
      <c r="A14" s="66" t="s">
        <v>376</v>
      </c>
      <c r="B14" s="108">
        <v>15</v>
      </c>
      <c r="C14" s="4"/>
      <c r="D14" s="4"/>
      <c r="E14" s="4"/>
      <c r="F14" s="82"/>
      <c r="G14" s="82"/>
      <c r="H14" s="402" t="s">
        <v>101</v>
      </c>
      <c r="I14" s="403"/>
      <c r="J14" s="403"/>
      <c r="K14" s="403"/>
      <c r="L14" s="403"/>
      <c r="M14" s="403"/>
      <c r="N14" s="403"/>
      <c r="O14" s="403"/>
      <c r="P14" s="403"/>
      <c r="Q14" s="403"/>
      <c r="R14" s="403"/>
      <c r="S14" s="403"/>
      <c r="T14" s="404"/>
      <c r="U14" s="417" t="s">
        <v>96</v>
      </c>
      <c r="V14" s="418"/>
      <c r="W14" s="418"/>
      <c r="X14" s="418"/>
      <c r="Y14" s="418"/>
      <c r="Z14" s="419"/>
    </row>
    <row r="15" spans="1:28" x14ac:dyDescent="0.2">
      <c r="A15" s="19" t="s">
        <v>141</v>
      </c>
      <c r="B15" s="83">
        <f>IF('Machinery(Corn)'!C10='Machinery(Corn)'!B73,'Machinery(Corn)'!C11,'Machinery(Corn)'!D11)</f>
        <v>0.75</v>
      </c>
      <c r="C15" s="19"/>
      <c r="D15" s="19"/>
      <c r="E15" s="4"/>
      <c r="F15" s="82"/>
      <c r="G15" s="82"/>
      <c r="H15" s="405"/>
      <c r="I15" s="406"/>
      <c r="J15" s="406"/>
      <c r="K15" s="406"/>
      <c r="L15" s="406"/>
      <c r="M15" s="406"/>
      <c r="N15" s="406"/>
      <c r="O15" s="406"/>
      <c r="P15" s="406"/>
      <c r="Q15" s="406"/>
      <c r="R15" s="406"/>
      <c r="S15" s="406"/>
      <c r="T15" s="407"/>
      <c r="U15" s="32" t="str">
        <f>'Machinery(Corn)'!G19</f>
        <v>Increase</v>
      </c>
      <c r="V15" s="32" t="str">
        <f>'Machinery(Corn)'!J19</f>
        <v>Increase</v>
      </c>
      <c r="W15" s="32" t="str">
        <f>'Machinery(Corn)'!J19</f>
        <v>Increase</v>
      </c>
      <c r="X15" s="32" t="str">
        <f>'Machinery(Corn)'!H19</f>
        <v>Increase</v>
      </c>
      <c r="Y15" s="32" t="str">
        <f>'Machinery(Corn)'!I19</f>
        <v>Increase</v>
      </c>
      <c r="Z15" s="32" t="str">
        <f>'Machinery(Corn)'!K19</f>
        <v>Increase</v>
      </c>
      <c r="AA15" s="15"/>
      <c r="AB15" s="15"/>
    </row>
    <row r="16" spans="1:28" x14ac:dyDescent="0.2">
      <c r="A16" s="66" t="s">
        <v>377</v>
      </c>
      <c r="B16" s="109">
        <v>0.15</v>
      </c>
      <c r="C16" s="4"/>
      <c r="D16" s="4"/>
      <c r="E16" s="4"/>
      <c r="F16" s="82"/>
      <c r="G16" s="82"/>
      <c r="H16" s="408"/>
      <c r="I16" s="409"/>
      <c r="J16" s="409"/>
      <c r="K16" s="409"/>
      <c r="L16" s="409"/>
      <c r="M16" s="409"/>
      <c r="N16" s="409"/>
      <c r="O16" s="409"/>
      <c r="P16" s="409"/>
      <c r="Q16" s="409"/>
      <c r="R16" s="409"/>
      <c r="S16" s="409"/>
      <c r="T16" s="410"/>
      <c r="U16" s="76">
        <f>IF('Machinery(Corn)'!G19='Machinery(Corn)'!B54,0,'Machinery(Corn)'!G20)</f>
        <v>0</v>
      </c>
      <c r="V16" s="76">
        <f>IF('Machinery(Corn)'!J19='Machinery(Corn)'!B54,0,'Machinery(Corn)'!J20)</f>
        <v>0</v>
      </c>
      <c r="W16" s="76">
        <f>IF('Machinery(Corn)'!J19='Machinery(Corn)'!B54,0,'Machinery(Corn)'!J20)</f>
        <v>0</v>
      </c>
      <c r="X16" s="76">
        <f>IF('Machinery(Corn)'!H19='Machinery(Corn)'!B54,0,'Machinery(Corn)'!H20)</f>
        <v>0</v>
      </c>
      <c r="Y16" s="76">
        <f>IF('Machinery(Corn)'!I19='Machinery(Corn)'!B54,0,'Machinery(Corn)'!I20)</f>
        <v>0</v>
      </c>
      <c r="Z16" s="94">
        <f>IF('Machinery(Corn)'!K19='Machinery(Corn)'!B54,0,'Machinery(Corn)'!K20)</f>
        <v>0</v>
      </c>
    </row>
    <row r="17" spans="1:26" s="1" customFormat="1" ht="43.15" customHeight="1" x14ac:dyDescent="0.2">
      <c r="A17" s="3" t="s">
        <v>0</v>
      </c>
      <c r="B17" s="3" t="s">
        <v>283</v>
      </c>
      <c r="C17" s="3" t="s">
        <v>284</v>
      </c>
      <c r="D17" s="3" t="s">
        <v>282</v>
      </c>
      <c r="E17" s="21" t="s">
        <v>241</v>
      </c>
      <c r="F17" s="21" t="s">
        <v>109</v>
      </c>
      <c r="G17" s="21" t="s">
        <v>117</v>
      </c>
      <c r="H17" s="3" t="s">
        <v>372</v>
      </c>
      <c r="I17" s="112" t="s">
        <v>10</v>
      </c>
      <c r="J17" s="112" t="s">
        <v>379</v>
      </c>
      <c r="K17" s="112" t="s">
        <v>380</v>
      </c>
      <c r="L17" s="3" t="s">
        <v>2</v>
      </c>
      <c r="M17" s="112" t="s">
        <v>6</v>
      </c>
      <c r="N17" s="3" t="s">
        <v>3</v>
      </c>
      <c r="O17" s="112" t="s">
        <v>378</v>
      </c>
      <c r="P17" s="3" t="s">
        <v>4</v>
      </c>
      <c r="Q17" s="3" t="s">
        <v>7</v>
      </c>
      <c r="R17" s="3" t="s">
        <v>8</v>
      </c>
      <c r="S17" s="3" t="s">
        <v>9</v>
      </c>
      <c r="T17" s="3"/>
      <c r="U17" s="3" t="s">
        <v>86</v>
      </c>
      <c r="V17" s="3" t="s">
        <v>88</v>
      </c>
      <c r="W17" s="3" t="s">
        <v>71</v>
      </c>
      <c r="X17" s="3" t="s">
        <v>8</v>
      </c>
      <c r="Y17" s="3" t="s">
        <v>89</v>
      </c>
      <c r="Z17" s="3" t="s">
        <v>50</v>
      </c>
    </row>
    <row r="18" spans="1:26" x14ac:dyDescent="0.2">
      <c r="A18" s="4"/>
      <c r="B18" s="4"/>
      <c r="C18" s="4"/>
      <c r="D18" s="4"/>
      <c r="E18" s="22"/>
      <c r="F18" s="20"/>
      <c r="G18" s="27"/>
      <c r="H18" s="4"/>
      <c r="I18" s="4"/>
      <c r="J18" s="4"/>
      <c r="K18" s="4"/>
      <c r="L18" s="4"/>
      <c r="M18" s="4"/>
      <c r="N18" s="4"/>
      <c r="O18" s="4"/>
      <c r="P18" s="4"/>
      <c r="Q18" s="4"/>
      <c r="R18" s="4"/>
      <c r="S18" s="4"/>
      <c r="T18" s="4"/>
      <c r="U18" s="4"/>
      <c r="V18" s="4"/>
      <c r="W18" s="4"/>
      <c r="X18" s="4"/>
      <c r="Y18" s="4"/>
      <c r="Z18" s="4"/>
    </row>
    <row r="19" spans="1:26" x14ac:dyDescent="0.2">
      <c r="A19" s="9" t="s">
        <v>11</v>
      </c>
      <c r="B19" s="9"/>
      <c r="C19" s="9"/>
      <c r="D19" s="9"/>
      <c r="E19" s="23"/>
      <c r="F19" s="24"/>
      <c r="G19" s="28"/>
      <c r="H19" s="6"/>
      <c r="I19" s="6"/>
      <c r="J19" s="6"/>
      <c r="K19" s="6"/>
      <c r="L19" s="4"/>
      <c r="M19" s="4"/>
      <c r="N19" s="4"/>
      <c r="O19" s="4"/>
      <c r="P19" s="4"/>
      <c r="Q19" s="4"/>
      <c r="R19" s="4"/>
      <c r="S19" s="4"/>
      <c r="T19" s="4"/>
      <c r="U19" s="4"/>
      <c r="V19" s="4"/>
      <c r="W19" s="4"/>
      <c r="X19" s="4"/>
      <c r="Y19" s="4"/>
      <c r="Z19" s="4"/>
    </row>
    <row r="20" spans="1:26" x14ac:dyDescent="0.2">
      <c r="A20" s="4" t="s">
        <v>12</v>
      </c>
      <c r="B20" s="74"/>
      <c r="C20" s="74"/>
      <c r="D20" s="90"/>
      <c r="E20" s="95"/>
      <c r="F20" s="96"/>
      <c r="G20" s="29"/>
      <c r="H20" s="6"/>
      <c r="I20" s="6">
        <f>IF(G20&gt;0,G20,H20-(L20*B$2*1.05)+M20-O20*12.5+P20)</f>
        <v>6.1313624368686863</v>
      </c>
      <c r="J20" s="6"/>
      <c r="K20" s="6"/>
      <c r="L20" s="10">
        <v>2.06175</v>
      </c>
      <c r="M20" s="67">
        <f t="shared" ref="M20:M23" si="0">L20*B$3*(1+B$13)</f>
        <v>8.2985437499999986</v>
      </c>
      <c r="N20" s="11">
        <v>0.25072390572390574</v>
      </c>
      <c r="O20" s="113">
        <f t="shared" ref="O20:O23" si="1">N20*(1+B$16)</f>
        <v>0.28833249158249158</v>
      </c>
      <c r="P20" s="5">
        <f>O20*B$4*(1-B$7)+O20*B$6*(B$7)</f>
        <v>5.7666498316498318</v>
      </c>
      <c r="Q20" s="5">
        <f>I20-M20-P20</f>
        <v>-7.933831144781144</v>
      </c>
      <c r="R20" s="5">
        <f>Q20*B$12</f>
        <v>-2.6181642777777778</v>
      </c>
      <c r="S20" s="5">
        <f>Q20-R20</f>
        <v>-5.3156668670033662</v>
      </c>
      <c r="T20" s="4"/>
      <c r="U20" s="5">
        <f t="shared" ref="U20:U29" si="2">IF(U$15="Increase",IF(F20="y",0,IF($E20&gt;0,M20*$E20*(1+U$16),0)),IF(F20="y",0,IF($E20&gt;0,M20*$E20*(1-U$16),0)))</f>
        <v>0</v>
      </c>
      <c r="V20" s="5">
        <f>IF(V$15="Increase",IF(F20="y",0,IF($E20&gt;0,(O20*B$4*(1-B$7))*$E20*(1+V$16),0)),IF(F20="y",0,IF($E20&gt;0,(O20*B$4*(1-B$7))*$E20*(1-V$16),0)))</f>
        <v>0</v>
      </c>
      <c r="W20" s="5">
        <f>IF(W$15="Increase",IF(F20="y",0,IF($E20&gt;0,(O20*B$6*(B$7))*$E20*(1+W$16),0)),IF(F20="y",0,IF($E20&gt;0,(O20*B$6*(B$7))*$E20*(1-W$16),0)))</f>
        <v>0</v>
      </c>
      <c r="X20" s="5">
        <f t="shared" ref="X20:X29" si="3">IF(X$15="Increase",IF(F20="y",0,IF($E20&gt;0,R20*$E20*(1+X$16),0)),IF(F20="y",0,IF($E20&gt;0,R20*$E20*(1-X$16),0)))</f>
        <v>0</v>
      </c>
      <c r="Y20" s="5">
        <f t="shared" ref="Y20:Y28" si="4">IF(Y$15="Increase",IF(F20="y",0,IF($E20&gt;0,S20*$E20*(1+Y$16),0)),IF(F20="y",0,IF($E20&gt;0,S20*$E20*(1-Y$16),0)))</f>
        <v>0</v>
      </c>
      <c r="Z20" s="5">
        <f>IF(Z$15="Increase",IF(F20="y",I20*E20*(1+Z$16),0),IF(F20="y",I20*E20*(1-Z$16),0))</f>
        <v>0</v>
      </c>
    </row>
    <row r="21" spans="1:26" x14ac:dyDescent="0.2">
      <c r="A21" s="4" t="s">
        <v>13</v>
      </c>
      <c r="B21" s="74">
        <v>0.5</v>
      </c>
      <c r="C21" s="74">
        <v>0</v>
      </c>
      <c r="D21" s="90">
        <f>IF('Machinery(Corn)'!B34='Machinery(Corn)'!G56,'Machinery(Corn)'!D34,IF('Machinery(Corn)'!B35='Machinery(Corn)'!G60,'Machinery(Corn)'!D35,0))</f>
        <v>0</v>
      </c>
      <c r="E21" s="95">
        <f>IF('Machinery(Corn)'!$C$16='Machinery(Corn)'!$B$68,0,IF('Machinery(Corn)'!C17='Machinery(Corn)'!B72,D21,IF(OR('Machinery(Corn)'!B34='Machinery(Corn)'!G56,'Machinery(Corn)'!B35='Machinery(Corn)'!G60),B21)))</f>
        <v>0</v>
      </c>
      <c r="F21" s="289" t="str">
        <f>IF('Machinery(Corn)'!C17='Machinery(Corn)'!B73,'Machinery(Corn)'!B50,IF('Machinery(Corn)'!B34='Machinery(Corn)'!G56,'Machinery(Corn)'!E34,IF('Machinery(Corn)'!B35='Machinery(Corn)'!G60,'Machinery(Corn)'!E35,'Machinery(Corn)'!B50)))</f>
        <v>N</v>
      </c>
      <c r="G21" s="29"/>
      <c r="H21" s="6">
        <v>18</v>
      </c>
      <c r="I21" s="111">
        <f>H21+J21+K21</f>
        <v>19.975075757575759</v>
      </c>
      <c r="J21" s="111">
        <f>L21*(B$3-B$2)</f>
        <v>1.59</v>
      </c>
      <c r="K21" s="111">
        <f>(B$4*(1-B$7)+B$6*(B$7) - B$14)*O21</f>
        <v>0.38507575757575752</v>
      </c>
      <c r="L21" s="10">
        <v>1.06</v>
      </c>
      <c r="M21" s="67">
        <f>L21*B$3*(1+B$13)</f>
        <v>4.2664999999999997</v>
      </c>
      <c r="N21" s="11">
        <v>6.6969696969696971E-2</v>
      </c>
      <c r="O21" s="113">
        <f>N21*(1+B$16)</f>
        <v>7.7015151515151509E-2</v>
      </c>
      <c r="P21" s="5">
        <f>O21*B$4*(1-B$7)+O21*B$6*(B$7)</f>
        <v>1.5403030303030301</v>
      </c>
      <c r="Q21" s="5">
        <f t="shared" ref="Q21:Q29" si="5">I21-M21-P21</f>
        <v>14.168272727272729</v>
      </c>
      <c r="R21" s="5">
        <f>Q21*B$12</f>
        <v>4.6755300000000011</v>
      </c>
      <c r="S21" s="5">
        <f t="shared" ref="S21:S29" si="6">Q21-R21</f>
        <v>9.4927427272727272</v>
      </c>
      <c r="T21" s="4"/>
      <c r="U21" s="5">
        <f t="shared" si="2"/>
        <v>0</v>
      </c>
      <c r="V21" s="5">
        <f>IF(V$15="Increase",IF(F21="y",0,IF($E21&gt;0,(O21*B$4*(1-B$7))*$E21*(1+V$16),0)),IF(F21="y",0,IF($E21&gt;0,(O21*B$4*(1-B$7))*$E21*(1-V$16),0)))</f>
        <v>0</v>
      </c>
      <c r="W21" s="5">
        <f>IF(W$15="Increase",IF(F21="y",0,IF($E21&gt;0,(O21*B$6*(B$7))*$E21*(1+W$16),0)),IF(F21="y",0,IF($E21&gt;0,(O21*B$6*(B$7))*$E21*(1-W$16),0)))</f>
        <v>0</v>
      </c>
      <c r="X21" s="5">
        <f t="shared" si="3"/>
        <v>0</v>
      </c>
      <c r="Y21" s="5">
        <f t="shared" si="4"/>
        <v>0</v>
      </c>
      <c r="Z21" s="5">
        <f t="shared" ref="Z21:Z29" si="7">IF(Z$15="Increase",IF(F21="y",I21*E21*(1+Z$16),0),IF(F21="y",I21*E21*(1-Z$16),0))</f>
        <v>0</v>
      </c>
    </row>
    <row r="22" spans="1:26" x14ac:dyDescent="0.2">
      <c r="A22" s="4" t="s">
        <v>14</v>
      </c>
      <c r="B22" s="74">
        <v>0.5</v>
      </c>
      <c r="C22" s="74">
        <v>0</v>
      </c>
      <c r="D22" s="90">
        <f>IF('Machinery(Corn)'!B34='Machinery(Corn)'!G57,'Machinery(Corn)'!D34,IF('Machinery(Corn)'!B35='Machinery(Corn)'!G61,'Machinery(Corn)'!D35,0))</f>
        <v>0</v>
      </c>
      <c r="E22" s="95">
        <f>IF('Machinery(Corn)'!$C$16='Machinery(Corn)'!$B$68,0,IF('Machinery(Corn)'!C17='Machinery(Corn)'!B72,D22,IF(OR('Machinery(Corn)'!B34='Machinery(Corn)'!G57,'Machinery(Corn)'!B35='Machinery(Corn)'!G61),B22)))</f>
        <v>0</v>
      </c>
      <c r="F22" s="289" t="str">
        <f>IF('Machinery(Corn)'!C17='Machinery(Corn)'!B73,'Machinery(Corn)'!B50,IF('Machinery(Corn)'!B34='Machinery(Corn)'!G57,'Machinery(Corn)'!E34,IF('Machinery(Corn)'!B35='Machinery(Corn)'!G61,'Machinery(Corn)'!E35,'Machinery(Corn)'!B50)))</f>
        <v>N</v>
      </c>
      <c r="G22" s="29"/>
      <c r="H22" s="6">
        <v>15.5</v>
      </c>
      <c r="I22" s="110">
        <f>H22+J22+K22</f>
        <v>17.611535353535356</v>
      </c>
      <c r="J22" s="111">
        <f>L22*(B$3-B$2)</f>
        <v>1.353</v>
      </c>
      <c r="K22" s="111">
        <f>(B$4*(1-B$7)+B$6*(B$7) - B$14)*O22</f>
        <v>0.7585353535353534</v>
      </c>
      <c r="L22" s="10">
        <v>0.90200000000000002</v>
      </c>
      <c r="M22" s="67">
        <f>L22*B$3*(1+B$13)</f>
        <v>3.6305499999999999</v>
      </c>
      <c r="N22" s="11">
        <v>0.13191919191919191</v>
      </c>
      <c r="O22" s="113">
        <f t="shared" si="1"/>
        <v>0.15170707070707068</v>
      </c>
      <c r="P22" s="5">
        <f>O22*B$4*(1-B$7)+O22*B$6*(B$7)</f>
        <v>3.0341414141414136</v>
      </c>
      <c r="Q22" s="5">
        <f t="shared" si="5"/>
        <v>10.946843939393943</v>
      </c>
      <c r="R22" s="5">
        <f>Q22*B$12</f>
        <v>3.6124585000000016</v>
      </c>
      <c r="S22" s="5">
        <f t="shared" si="6"/>
        <v>7.3343854393939418</v>
      </c>
      <c r="T22" s="4"/>
      <c r="U22" s="5">
        <f t="shared" si="2"/>
        <v>0</v>
      </c>
      <c r="V22" s="5">
        <f>IF(V$15="Increase",IF(F22="y",0,IF($E22&gt;0,(O22*B$4*(1-B$7))*$E22*(1+V$16),0)),IF(F22="y",0,IF($E22&gt;0,(O22*B$4*(1-B$7))*$E22*(1-V$16),0)))</f>
        <v>0</v>
      </c>
      <c r="W22" s="5">
        <f>IF(W$15="Increase",IF(F22="y",0,IF($E22&gt;0,(O22*B$6*(B$7))*$E22*(1+W$16),0)),IF(F22="y",0,IF($E22&gt;0,(O22*B$6*(B$7))*$E22*(1-W$16),0)))</f>
        <v>0</v>
      </c>
      <c r="X22" s="5">
        <f t="shared" si="3"/>
        <v>0</v>
      </c>
      <c r="Y22" s="5">
        <f t="shared" si="4"/>
        <v>0</v>
      </c>
      <c r="Z22" s="5">
        <f t="shared" si="7"/>
        <v>0</v>
      </c>
    </row>
    <row r="23" spans="1:26" x14ac:dyDescent="0.2">
      <c r="A23" s="4" t="s">
        <v>15</v>
      </c>
      <c r="B23" s="4"/>
      <c r="C23" s="4"/>
      <c r="D23" s="90"/>
      <c r="E23" s="97"/>
      <c r="F23" s="289"/>
      <c r="G23" s="29"/>
      <c r="H23" s="6"/>
      <c r="I23" s="6">
        <f>IF(G23&gt;0,G23,H23-(L23*B$2*1.05)+M23-O23*12.5+P23)</f>
        <v>4.813638888888887</v>
      </c>
      <c r="J23" s="6"/>
      <c r="K23" s="6"/>
      <c r="L23" s="10">
        <v>1.87</v>
      </c>
      <c r="M23" s="67">
        <f t="shared" si="0"/>
        <v>7.5267499999999989</v>
      </c>
      <c r="N23" s="11">
        <v>0.14074074074074072</v>
      </c>
      <c r="O23" s="113">
        <f t="shared" si="1"/>
        <v>0.16185185185185183</v>
      </c>
      <c r="P23" s="5">
        <f>O23*B$4*(1-B$7)+O23*B$6*(B$7)</f>
        <v>3.2370370370370365</v>
      </c>
      <c r="Q23" s="5">
        <f t="shared" si="5"/>
        <v>-5.9501481481481484</v>
      </c>
      <c r="R23" s="5">
        <f>Q23*B$12</f>
        <v>-1.963548888888889</v>
      </c>
      <c r="S23" s="5">
        <f t="shared" si="6"/>
        <v>-3.9865992592592594</v>
      </c>
      <c r="T23" s="4"/>
      <c r="U23" s="5">
        <f t="shared" si="2"/>
        <v>0</v>
      </c>
      <c r="V23" s="5">
        <f>IF(V$15="Increase",IF(F23="y",0,IF($E23&gt;0,(O23*B$4*(1-B$7))*$E23*(1+V$16),0)),IF(F23="y",0,IF($E23&gt;0,(O23*B$4*(1-B$7))*$E23*(1-V$16),0)))</f>
        <v>0</v>
      </c>
      <c r="W23" s="5">
        <f>IF(W$15="Increase",IF(F23="y",0,IF($E23&gt;0,(O23*B$6*(B$7))*$E23*(1+W$16),0)),IF(F23="y",0,IF($E23&gt;0,(O23*B$6*(B$7))*$E23*(1-W$16),0)))</f>
        <v>0</v>
      </c>
      <c r="X23" s="5">
        <f t="shared" si="3"/>
        <v>0</v>
      </c>
      <c r="Y23" s="5">
        <f t="shared" si="4"/>
        <v>0</v>
      </c>
      <c r="Z23" s="5">
        <f t="shared" si="7"/>
        <v>0</v>
      </c>
    </row>
    <row r="24" spans="1:26" x14ac:dyDescent="0.2">
      <c r="A24" s="4"/>
      <c r="B24" s="4"/>
      <c r="C24" s="4"/>
      <c r="D24" s="90"/>
      <c r="E24" s="97"/>
      <c r="F24" s="289"/>
      <c r="G24" s="29"/>
      <c r="H24" s="6"/>
      <c r="I24" s="6"/>
      <c r="J24" s="6"/>
      <c r="K24" s="6"/>
      <c r="L24" s="10"/>
      <c r="M24" s="5"/>
      <c r="N24" s="11"/>
      <c r="O24" s="11"/>
      <c r="P24" s="5"/>
      <c r="Q24" s="5"/>
      <c r="R24" s="5"/>
      <c r="S24" s="5"/>
      <c r="T24" s="4"/>
      <c r="U24" s="5"/>
      <c r="V24" s="5"/>
      <c r="W24" s="5"/>
      <c r="X24" s="5"/>
      <c r="Y24" s="5"/>
      <c r="Z24" s="5"/>
    </row>
    <row r="25" spans="1:26" x14ac:dyDescent="0.2">
      <c r="A25" s="4" t="s">
        <v>16</v>
      </c>
      <c r="B25" s="74">
        <v>2</v>
      </c>
      <c r="C25" s="74">
        <v>0</v>
      </c>
      <c r="D25" s="90">
        <f>IF('Machinery(Corn)'!C16='Machinery(Corn)'!B68,0,'Machinery(Corn)'!D28)</f>
        <v>0</v>
      </c>
      <c r="E25" s="95">
        <f>IF('Machinery(Corn)'!$C$17='Machinery(Corn)'!$B$72,D25,IF('Machinery(Corn)'!$C$16='Machinery(Corn)'!$B$69,B25,C25))</f>
        <v>0</v>
      </c>
      <c r="F25" s="289" t="str">
        <f>IF('Machinery(Corn)'!C17='Machinery(Corn)'!B73,'Machinery(Corn)'!B50,'Machinery(Corn)'!E28)</f>
        <v>N</v>
      </c>
      <c r="G25" s="29"/>
      <c r="H25" s="6">
        <v>14.5</v>
      </c>
      <c r="I25" s="110">
        <f>H25+J25+K25</f>
        <v>15.702300505050506</v>
      </c>
      <c r="J25" s="111">
        <f>L25*(B$3-B$2)</f>
        <v>0.93600000000000017</v>
      </c>
      <c r="K25" s="111">
        <f>(B$4*(1-B$7)+B$6*(B$7) - B$14)*O25</f>
        <v>0.26630050505050507</v>
      </c>
      <c r="L25" s="10">
        <v>0.62400000000000011</v>
      </c>
      <c r="M25" s="67">
        <f t="shared" ref="M25:M29" si="8">L25*B$3*(1+B$13)</f>
        <v>2.5116000000000001</v>
      </c>
      <c r="N25" s="11">
        <v>4.631313131313132E-2</v>
      </c>
      <c r="O25" s="113">
        <f t="shared" ref="O25:O29" si="9">N25*(1+B$16)</f>
        <v>5.3260101010101014E-2</v>
      </c>
      <c r="P25" s="5">
        <f>O25*B$4*(1-B$7)+O25*B$6*(B$7)</f>
        <v>1.0652020202020203</v>
      </c>
      <c r="Q25" s="5">
        <f t="shared" si="5"/>
        <v>12.125498484848485</v>
      </c>
      <c r="R25" s="5">
        <f>Q25*B$12</f>
        <v>4.0014145000000001</v>
      </c>
      <c r="S25" s="5">
        <f t="shared" si="6"/>
        <v>8.124083984848486</v>
      </c>
      <c r="T25" s="4"/>
      <c r="U25" s="5">
        <f t="shared" si="2"/>
        <v>0</v>
      </c>
      <c r="V25" s="5">
        <f>IF(V$15="Increase",IF(F25="y",0,IF($E25&gt;0,(O25*B$4*(1-B$7))*$E25*(1+V$16),0)),IF(F25="y",0,IF($E25&gt;0,(O25*B$4*(1-B$7))*$E25*(1-V$16),0)))</f>
        <v>0</v>
      </c>
      <c r="W25" s="5">
        <f>IF(W$15="Increase",IF(F25="y",0,IF($E25&gt;0,(O25*B$6*(B$7))*$E25*(1+W$16),0)),IF(F25="y",0,IF($E25&gt;0,(O25*B$6*(B$7))*$E25*(1-W$16),0)))</f>
        <v>0</v>
      </c>
      <c r="X25" s="5">
        <f t="shared" si="3"/>
        <v>0</v>
      </c>
      <c r="Y25" s="5">
        <f t="shared" si="4"/>
        <v>0</v>
      </c>
      <c r="Z25" s="5">
        <f t="shared" si="7"/>
        <v>0</v>
      </c>
    </row>
    <row r="26" spans="1:26" x14ac:dyDescent="0.2">
      <c r="A26" s="4" t="s">
        <v>17</v>
      </c>
      <c r="B26" s="4"/>
      <c r="C26" s="4"/>
      <c r="D26" s="32"/>
      <c r="E26" s="97"/>
      <c r="F26" s="289"/>
      <c r="G26" s="29"/>
      <c r="H26" s="6"/>
      <c r="I26" s="6">
        <f>IF(G26&gt;0,G26,H26-(L26*B$2*1.05)+M26-O26*12.5+P26)</f>
        <v>1.5552181818181814</v>
      </c>
      <c r="J26" s="6"/>
      <c r="K26" s="6"/>
      <c r="L26" s="10">
        <v>0.36799999999999999</v>
      </c>
      <c r="M26" s="67">
        <f t="shared" si="8"/>
        <v>1.4811999999999999</v>
      </c>
      <c r="N26" s="11">
        <v>9.818181818181819E-2</v>
      </c>
      <c r="O26" s="113">
        <f t="shared" si="9"/>
        <v>0.1129090909090909</v>
      </c>
      <c r="P26" s="5">
        <f>O26*B$4*(1-B$7)+O26*B$6*(B$7)</f>
        <v>2.2581818181818178</v>
      </c>
      <c r="Q26" s="5">
        <f t="shared" si="5"/>
        <v>-2.1841636363636363</v>
      </c>
      <c r="R26" s="5">
        <f>Q26*B$12</f>
        <v>-0.72077400000000003</v>
      </c>
      <c r="S26" s="5">
        <f t="shared" si="6"/>
        <v>-1.4633896363636363</v>
      </c>
      <c r="T26" s="4"/>
      <c r="U26" s="5">
        <f t="shared" si="2"/>
        <v>0</v>
      </c>
      <c r="V26" s="5">
        <f>IF(V$15="Increase",IF(F26="y",0,IF($E26&gt;0,(O26*B$4*(1-B$7))*$E26*(1+V$16),0)),IF(F26="y",0,IF($E26&gt;0,(O26*B$4*(1-B$7))*$E26*(1-V$16),0)))</f>
        <v>0</v>
      </c>
      <c r="W26" s="5">
        <f>IF(W$15="Increase",IF(F26="y",0,IF($E26&gt;0,(O26*B$6*(B$7))*$E26*(1+W$16),0)),IF(F26="y",0,IF($E26&gt;0,(O26*B$6*(B$7))*$E26*(1-W$16),0)))</f>
        <v>0</v>
      </c>
      <c r="X26" s="5">
        <f t="shared" si="3"/>
        <v>0</v>
      </c>
      <c r="Y26" s="5">
        <f t="shared" si="4"/>
        <v>0</v>
      </c>
      <c r="Z26" s="5">
        <f t="shared" si="7"/>
        <v>0</v>
      </c>
    </row>
    <row r="27" spans="1:26" x14ac:dyDescent="0.2">
      <c r="A27" s="4" t="s">
        <v>18</v>
      </c>
      <c r="B27" s="74">
        <v>0.5</v>
      </c>
      <c r="C27" s="74">
        <v>0</v>
      </c>
      <c r="D27" s="90">
        <f>IF('Machinery(Corn)'!B34='Machinery(Corn)'!G58,'Machinery(Corn)'!D34,IF('Machinery(Corn)'!B35='Machinery(Corn)'!G62,'Machinery(Corn)'!D35,0))</f>
        <v>0</v>
      </c>
      <c r="E27" s="95">
        <f>IF('Machinery(Corn)'!$C$16='Machinery(Corn)'!$B$68,0,IF('Machinery(Corn)'!C17='Machinery(Corn)'!B72,D27,IF(OR('Machinery(Corn)'!B34='Machinery(Corn)'!G58,'Machinery(Corn)'!B35='Machinery(Corn)'!G62),B27)))</f>
        <v>0</v>
      </c>
      <c r="F27" s="289" t="str">
        <f>IF('Machinery(Corn)'!C17='Machinery(Corn)'!B73,'Machinery(Corn)'!B50,IF('Machinery(Corn)'!B34='Machinery(Corn)'!G58,'Machinery(Corn)'!E34,IF('Machinery(Corn)'!B35='Machinery(Corn)'!G62,'Machinery(Corn)'!E35,'Machinery(Corn)'!B50)))</f>
        <v>N</v>
      </c>
      <c r="G27" s="29"/>
      <c r="H27" s="6">
        <v>19.5</v>
      </c>
      <c r="I27" s="110">
        <f>H27+J27+K27</f>
        <v>24.188340909090911</v>
      </c>
      <c r="J27" s="111">
        <f>L27*(B$3-B$2)</f>
        <v>3.5017499999999995</v>
      </c>
      <c r="K27" s="111">
        <f>(B$4*(1-B$7)+B$6*(B$7) - B$14)*O27</f>
        <v>1.186590909090909</v>
      </c>
      <c r="L27" s="10">
        <v>2.3344999999999998</v>
      </c>
      <c r="M27" s="67">
        <f t="shared" si="8"/>
        <v>9.3963624999999986</v>
      </c>
      <c r="N27" s="11">
        <v>0.20636363636363636</v>
      </c>
      <c r="O27" s="113">
        <f t="shared" si="9"/>
        <v>0.23731818181818179</v>
      </c>
      <c r="P27" s="5">
        <f>O27*B$4*(1-B$7)+O27*B$6*(B$7)</f>
        <v>4.7463636363636361</v>
      </c>
      <c r="Q27" s="5">
        <f t="shared" si="5"/>
        <v>10.045614772727276</v>
      </c>
      <c r="R27" s="5">
        <f>Q27*B$12</f>
        <v>3.3150528750000015</v>
      </c>
      <c r="S27" s="5">
        <f t="shared" si="6"/>
        <v>6.7305618977272754</v>
      </c>
      <c r="T27" s="4"/>
      <c r="U27" s="5">
        <f t="shared" si="2"/>
        <v>0</v>
      </c>
      <c r="V27" s="5">
        <f>IF(V$15="Increase",IF(F27="y",0,IF($E27&gt;0,(O27*B$4*(1-B$7))*$E27*(1+V$16),0)),IF(F27="y",0,IF($E27&gt;0,(O27*B$4*(1-B$7))*$E27*(1-V$16),0)))</f>
        <v>0</v>
      </c>
      <c r="W27" s="5">
        <f>IF(W$15="Increase",IF(F27="y",0,IF($E27&gt;0,(O27*B$6*(B$7))*$E27*(1+W$16),0)),IF(F27="y",0,IF($E27&gt;0,(O27*B$6*(B$7))*$E27*(1-W$16),0)))</f>
        <v>0</v>
      </c>
      <c r="X27" s="5">
        <f t="shared" si="3"/>
        <v>0</v>
      </c>
      <c r="Y27" s="5">
        <f t="shared" si="4"/>
        <v>0</v>
      </c>
      <c r="Z27" s="5">
        <f t="shared" si="7"/>
        <v>0</v>
      </c>
    </row>
    <row r="28" spans="1:26" x14ac:dyDescent="0.2">
      <c r="A28" s="4" t="s">
        <v>19</v>
      </c>
      <c r="B28" s="4"/>
      <c r="C28" s="4"/>
      <c r="D28" s="32"/>
      <c r="E28" s="97"/>
      <c r="F28" s="289"/>
      <c r="G28" s="29"/>
      <c r="H28" s="6"/>
      <c r="I28" s="6">
        <f>IF(G28&gt;0,G28,H28-(L28*B$2*1.05)+M28-O28*12.5+P28)</f>
        <v>4.8761282196969677</v>
      </c>
      <c r="J28" s="6"/>
      <c r="K28" s="6"/>
      <c r="L28" s="10">
        <v>1.9442499999999998</v>
      </c>
      <c r="M28" s="67">
        <f t="shared" si="8"/>
        <v>7.8256062499999981</v>
      </c>
      <c r="N28" s="11">
        <v>0.13141414141414143</v>
      </c>
      <c r="O28" s="113">
        <f t="shared" si="9"/>
        <v>0.15112626262626264</v>
      </c>
      <c r="P28" s="5">
        <f>O28*B$4*(1-B$7)+O28*B$6*(B$7)</f>
        <v>3.0225252525252526</v>
      </c>
      <c r="Q28" s="5">
        <f t="shared" si="5"/>
        <v>-5.9720032828282825</v>
      </c>
      <c r="R28" s="5">
        <f>Q28*B$12</f>
        <v>-1.9707610833333333</v>
      </c>
      <c r="S28" s="5">
        <f t="shared" si="6"/>
        <v>-4.001242199494949</v>
      </c>
      <c r="T28" s="4"/>
      <c r="U28" s="5">
        <f t="shared" si="2"/>
        <v>0</v>
      </c>
      <c r="V28" s="5">
        <f>IF(V$15="Increase",IF(F28="y",0,IF($E28&gt;0,(O28*B$4*(1-B$7))*$E28*(1+V$16),0)),IF(F28="y",0,IF($E28&gt;0,(O28*B$4*(1-B$7))*$E28*(1-V$16),0)))</f>
        <v>0</v>
      </c>
      <c r="W28" s="5">
        <f>IF(W$15="Increase",IF(F28="y",0,IF($E28&gt;0,(O28*B$6*(B$7))*$E28*(1+W$16),0)),IF(F28="y",0,IF($E28&gt;0,(O28*B$6*(B$7))*$E28*(1-W$16),0)))</f>
        <v>0</v>
      </c>
      <c r="X28" s="5">
        <f t="shared" si="3"/>
        <v>0</v>
      </c>
      <c r="Y28" s="5">
        <f t="shared" si="4"/>
        <v>0</v>
      </c>
      <c r="Z28" s="5">
        <f t="shared" si="7"/>
        <v>0</v>
      </c>
    </row>
    <row r="29" spans="1:26" x14ac:dyDescent="0.2">
      <c r="A29" s="4" t="s">
        <v>20</v>
      </c>
      <c r="B29" s="74">
        <v>0.5</v>
      </c>
      <c r="C29" s="74">
        <v>0.5</v>
      </c>
      <c r="D29" s="90">
        <f>IF('Machinery(Corn)'!C17='Machinery(Corn)'!B72,'Machinery(Corn)'!D33,0)</f>
        <v>0</v>
      </c>
      <c r="E29" s="95">
        <f>IF('Machinery(Corn)'!B33='Machinery(Corn)'!G53,0,IF('Machinery(Corn)'!C17='Machinery(Corn)'!B72,D29,IF('Machinery(Corn)'!B33='Machinery(Corn)'!G54,IF('Machinery(Corn)'!C16='Machinery(Corn)'!B69,B29,C29))))</f>
        <v>0.5</v>
      </c>
      <c r="F29" s="289" t="str">
        <f>IF('Machinery(Corn)'!C17='Machinery(Corn)'!B73,'Machinery(Corn)'!B50,IF('Machinery(Corn)'!B33='Machinery(Corn)'!G54,'Machinery(Corn)'!E33,'Machinery(Corn)'!B50))</f>
        <v>N</v>
      </c>
      <c r="G29" s="29"/>
      <c r="H29" s="6">
        <v>13</v>
      </c>
      <c r="I29" s="110">
        <f>H29+J29+K29</f>
        <v>15.091954545454545</v>
      </c>
      <c r="J29" s="111">
        <f>L29*(B$3-B$2)</f>
        <v>1.2765</v>
      </c>
      <c r="K29" s="111">
        <f>(B$4*(1-B$7)+B$6*(B$7) - B$14)*O29</f>
        <v>0.81545454545454532</v>
      </c>
      <c r="L29" s="10">
        <v>0.85099999999999998</v>
      </c>
      <c r="M29" s="67">
        <f t="shared" si="8"/>
        <v>3.4252749999999996</v>
      </c>
      <c r="N29" s="11">
        <v>0.14181818181818182</v>
      </c>
      <c r="O29" s="113">
        <f t="shared" si="9"/>
        <v>0.16309090909090906</v>
      </c>
      <c r="P29" s="5">
        <f>O29*B$4*(1-B$7)+O29*B$6*(B$7)</f>
        <v>3.2618181818181813</v>
      </c>
      <c r="Q29" s="5">
        <f t="shared" si="5"/>
        <v>8.404861363636364</v>
      </c>
      <c r="R29" s="5">
        <f>Q29*B$12</f>
        <v>2.7736042500000004</v>
      </c>
      <c r="S29" s="5">
        <f t="shared" si="6"/>
        <v>5.6312571136363641</v>
      </c>
      <c r="T29" s="4"/>
      <c r="U29" s="5">
        <f t="shared" si="2"/>
        <v>1.7126374999999998</v>
      </c>
      <c r="V29" s="5">
        <f>IF(V$15="Increase",IF(F29="y",0,IF($E29&gt;0,(O29*B$4*(1-B$7))*$E29*(1+V$16),0)),IF(F29="y",0,IF($E29&gt;0,(O29*B$4*(1-B$7))*$E29*(1-V$16),0)))</f>
        <v>1.6309090909090906</v>
      </c>
      <c r="W29" s="5">
        <f>IF(W$15="Increase",IF(F29="y",0,IF($E29&gt;0,(O29*B$6*(B$7))*$E29*(1+W$16),0)),IF(F29="y",0,IF($E29&gt;0,(O29*B$6*(B$7))*$E29*(1-W$16),0)))</f>
        <v>0</v>
      </c>
      <c r="X29" s="5">
        <f t="shared" si="3"/>
        <v>1.3868021250000002</v>
      </c>
      <c r="Y29" s="5">
        <f>IF(Y$15="Increase",IF(F29="y",0,IF($E29&gt;0,S29*$E29*(1+Y$16),0)),IF(F29="y",0,IF($E29&gt;0,S29*$E29*(1-Y$16),0)))</f>
        <v>2.815628556818182</v>
      </c>
      <c r="Z29" s="5">
        <f t="shared" si="7"/>
        <v>0</v>
      </c>
    </row>
    <row r="30" spans="1:26" x14ac:dyDescent="0.2">
      <c r="A30" s="4"/>
      <c r="B30" s="4"/>
      <c r="C30" s="4"/>
      <c r="D30" s="32"/>
      <c r="E30" s="97"/>
      <c r="F30" s="289"/>
      <c r="G30" s="29"/>
      <c r="H30" s="6"/>
      <c r="I30" s="6"/>
      <c r="J30" s="6"/>
      <c r="K30" s="6"/>
      <c r="L30" s="4"/>
      <c r="M30" s="4"/>
      <c r="N30" s="4"/>
      <c r="O30" s="4"/>
      <c r="P30" s="4"/>
      <c r="Q30" s="4"/>
      <c r="R30" s="4"/>
      <c r="S30" s="4"/>
      <c r="T30" s="4"/>
      <c r="U30" s="4"/>
      <c r="V30" s="4"/>
      <c r="W30" s="4"/>
      <c r="X30" s="4"/>
      <c r="Y30" s="4"/>
      <c r="Z30" s="4"/>
    </row>
    <row r="31" spans="1:26" x14ac:dyDescent="0.2">
      <c r="A31" s="9" t="s">
        <v>21</v>
      </c>
      <c r="B31" s="9"/>
      <c r="C31" s="9"/>
      <c r="D31" s="80"/>
      <c r="E31" s="97"/>
      <c r="F31" s="289"/>
      <c r="G31" s="29"/>
      <c r="H31" s="6"/>
      <c r="I31" s="6"/>
      <c r="J31" s="6"/>
      <c r="K31" s="6"/>
      <c r="L31" s="4"/>
      <c r="M31" s="4"/>
      <c r="N31" s="4"/>
      <c r="O31" s="4"/>
      <c r="P31" s="4"/>
      <c r="Q31" s="4"/>
      <c r="R31" s="4"/>
      <c r="S31" s="4"/>
      <c r="T31" s="4"/>
      <c r="U31" s="4"/>
      <c r="V31" s="4"/>
      <c r="W31" s="4"/>
      <c r="X31" s="4"/>
      <c r="Y31" s="4"/>
      <c r="Z31" s="4"/>
    </row>
    <row r="32" spans="1:26" x14ac:dyDescent="0.2">
      <c r="A32" s="4" t="s">
        <v>22</v>
      </c>
      <c r="B32" s="74">
        <v>1</v>
      </c>
      <c r="C32" s="74">
        <v>0</v>
      </c>
      <c r="D32" s="90">
        <f>IF('Machinery(Corn)'!C16='Machinery(Corn)'!B68,0,'Machinery(Corn)'!D22)</f>
        <v>0</v>
      </c>
      <c r="E32" s="95">
        <f>IF('Machinery(Corn)'!$C$17='Machinery(Corn)'!$B$72,D32,IF('Machinery(Corn)'!$C$16='Machinery(Corn)'!$B$69,B32,C32))</f>
        <v>0</v>
      </c>
      <c r="F32" s="289" t="str">
        <f>IF('Machinery(Corn)'!C17='Machinery(Corn)'!B73,'Machinery(Corn)'!B50,'Machinery(Corn)'!E22)</f>
        <v>N</v>
      </c>
      <c r="G32" s="29"/>
      <c r="H32" s="6">
        <v>19</v>
      </c>
      <c r="I32" s="110">
        <f>H32+J32+K32</f>
        <v>20.167879629629631</v>
      </c>
      <c r="J32" s="111">
        <f>L32*(B$3-B$2)</f>
        <v>0.7057500000000001</v>
      </c>
      <c r="K32" s="111">
        <f>(B$4*(1-B$7)+B$6*(B$7) - B$14)*O32</f>
        <v>0.46212962962962956</v>
      </c>
      <c r="L32" s="10">
        <v>0.47050000000000003</v>
      </c>
      <c r="M32" s="67">
        <f>L32*B$3*(1+B$13)</f>
        <v>1.8937625</v>
      </c>
      <c r="N32" s="11">
        <v>8.037037037037037E-2</v>
      </c>
      <c r="O32" s="113">
        <f t="shared" ref="O32" si="10">N32*(1+B$16)</f>
        <v>9.2425925925925911E-2</v>
      </c>
      <c r="P32" s="5">
        <f>O32*B$4*(1-B$7)+O32*B$6*(B$7)</f>
        <v>1.8485185185185182</v>
      </c>
      <c r="Q32" s="5">
        <f t="shared" ref="Q32:Q37" si="11">I32-M32-P32</f>
        <v>16.425598611111113</v>
      </c>
      <c r="R32" s="5">
        <f>Q32*B$12</f>
        <v>5.4204475416666673</v>
      </c>
      <c r="S32" s="5">
        <f t="shared" ref="S32:S37" si="12">Q32-R32</f>
        <v>11.005151069444445</v>
      </c>
      <c r="T32" s="4"/>
      <c r="U32" s="5">
        <f t="shared" ref="U32:U37" si="13">IF(U$15="Increase",IF(F32="y",0,IF($E32&gt;0,M32*$E32*(1+U$16),0)),IF(F32="y",0,IF($E32&gt;0,M32*$E32*(1-U$16),0)))</f>
        <v>0</v>
      </c>
      <c r="V32" s="5">
        <f>IF(V$15="Increase",IF(F32="y",0,IF($E32&gt;0,(O32*B$4*(1-B$7))*$E32*(1+V$16),0)),IF(F32="y",0,IF($E32&gt;0,(O32*B$4*(1-B$7))*$E32*(1-V$16),0)))</f>
        <v>0</v>
      </c>
      <c r="W32" s="5">
        <f>IF(W$15="Increase",IF(F32="y",0,IF($E32&gt;0,(O32*B$6*(B$7))*$E32*(1+W$16),0)),IF(F32="y",0,IF($E32&gt;0,(O32*B$6*(B$7))*$E32*(1-W$16),0)))</f>
        <v>0</v>
      </c>
      <c r="X32" s="5">
        <f t="shared" ref="X32:X37" si="14">IF(X$15="Increase",IF(F32="y",0,IF($E32&gt;0,R32*$E32*(1+X$16),0)),IF(F32="y",0,IF($E32&gt;0,R32*$E32*(1-X$16),0)))</f>
        <v>0</v>
      </c>
      <c r="Y32" s="5">
        <f t="shared" ref="Y32:Y37" si="15">IF(Y$15="Increase",IF(F32="y",0,IF($E32&gt;0,S32*$E32*(1+Y$16),0)),IF(F32="y",0,IF($E32&gt;0,S32*$E32*(1-Y$16),0)))</f>
        <v>0</v>
      </c>
      <c r="Z32" s="5">
        <f t="shared" ref="Z32:Z37" si="16">IF(Z$15="Increase",IF(F32="y",I32*E32*(1+Z$16),0),IF(F32="y",I32*E32*(1-Z$16),0))</f>
        <v>0</v>
      </c>
    </row>
    <row r="33" spans="1:26" x14ac:dyDescent="0.2">
      <c r="A33" s="4"/>
      <c r="B33" s="4"/>
      <c r="C33" s="4"/>
      <c r="D33" s="32"/>
      <c r="E33" s="97"/>
      <c r="F33" s="289"/>
      <c r="G33" s="29"/>
      <c r="H33" s="6"/>
      <c r="I33" s="6"/>
      <c r="J33" s="6"/>
      <c r="K33" s="6"/>
      <c r="L33" s="10"/>
      <c r="M33" s="5"/>
      <c r="N33" s="11"/>
      <c r="O33" s="11"/>
      <c r="P33" s="5"/>
      <c r="Q33" s="5"/>
      <c r="R33" s="5"/>
      <c r="S33" s="5"/>
      <c r="T33" s="4"/>
      <c r="U33" s="5"/>
      <c r="V33" s="5"/>
      <c r="W33" s="5"/>
      <c r="X33" s="5"/>
      <c r="Y33" s="5"/>
      <c r="Z33" s="5"/>
    </row>
    <row r="34" spans="1:26" x14ac:dyDescent="0.2">
      <c r="A34" s="4" t="s">
        <v>24</v>
      </c>
      <c r="B34" s="4"/>
      <c r="C34" s="4"/>
      <c r="D34" s="32"/>
      <c r="E34" s="97"/>
      <c r="F34" s="289"/>
      <c r="G34" s="29"/>
      <c r="H34" s="6"/>
      <c r="I34" s="6">
        <f>IF(G34&gt;0,G34,H34-(L34*B$2*1.05)+M34-O34*12.5+P34)</f>
        <v>1.8006152777777777</v>
      </c>
      <c r="J34" s="6"/>
      <c r="K34" s="6"/>
      <c r="L34" s="10">
        <v>0.52550000000000008</v>
      </c>
      <c r="M34" s="67">
        <f t="shared" ref="M34:M37" si="17">L34*B$3*(1+B$13)</f>
        <v>2.1151375000000003</v>
      </c>
      <c r="N34" s="11">
        <v>9.1481481481481469E-2</v>
      </c>
      <c r="O34" s="113">
        <f t="shared" ref="O34:O37" si="18">N34*(1+B$16)</f>
        <v>0.10520370370370369</v>
      </c>
      <c r="P34" s="5">
        <f t="shared" ref="P34:P37" si="19">O34*B$4*(1-B$7)+O34*B$6*(B$7)</f>
        <v>2.1040740740740738</v>
      </c>
      <c r="Q34" s="5">
        <f t="shared" si="11"/>
        <v>-2.4185962962962964</v>
      </c>
      <c r="R34" s="5">
        <f t="shared" ref="R34:R37" si="20">Q34*B$12</f>
        <v>-0.79813677777777781</v>
      </c>
      <c r="S34" s="5">
        <f t="shared" si="12"/>
        <v>-1.6204595185185187</v>
      </c>
      <c r="T34" s="4"/>
      <c r="U34" s="5">
        <f t="shared" si="13"/>
        <v>0</v>
      </c>
      <c r="V34" s="5">
        <f t="shared" ref="V34:V37" si="21">IF(V$15="Increase",IF(F34="y",0,IF($E34&gt;0,(O34*B$4*(1-B$7))*$E34*(1+V$16),0)),IF(F34="y",0,IF($E34&gt;0,(O34*B$4*(1-B$7))*$E34*(1-V$16),0)))</f>
        <v>0</v>
      </c>
      <c r="W34" s="5">
        <f t="shared" ref="W34:W37" si="22">IF(W$15="Increase",IF(F34="y",0,IF($E34&gt;0,(O34*B$6*(B$7))*$E34*(1+W$16),0)),IF(F34="y",0,IF($E34&gt;0,(O34*B$6*(B$7))*$E34*(1-W$16),0)))</f>
        <v>0</v>
      </c>
      <c r="X34" s="5">
        <f t="shared" si="14"/>
        <v>0</v>
      </c>
      <c r="Y34" s="5">
        <f t="shared" si="15"/>
        <v>0</v>
      </c>
      <c r="Z34" s="5">
        <f t="shared" si="16"/>
        <v>0</v>
      </c>
    </row>
    <row r="35" spans="1:26" x14ac:dyDescent="0.2">
      <c r="A35" s="4" t="s">
        <v>25</v>
      </c>
      <c r="B35" s="4"/>
      <c r="C35" s="4"/>
      <c r="D35" s="32"/>
      <c r="E35" s="97"/>
      <c r="F35" s="289"/>
      <c r="G35" s="29"/>
      <c r="H35" s="6"/>
      <c r="I35" s="6">
        <f>IF(G35&gt;0,G35,H35-(L35*B$2*1.05)+M35-O35*12.5+P35)</f>
        <v>1.8006152777777777</v>
      </c>
      <c r="J35" s="6"/>
      <c r="K35" s="6"/>
      <c r="L35" s="10">
        <v>0.52550000000000008</v>
      </c>
      <c r="M35" s="67">
        <f t="shared" si="17"/>
        <v>2.1151375000000003</v>
      </c>
      <c r="N35" s="11">
        <v>9.1481481481481469E-2</v>
      </c>
      <c r="O35" s="113">
        <f t="shared" si="18"/>
        <v>0.10520370370370369</v>
      </c>
      <c r="P35" s="5">
        <f t="shared" si="19"/>
        <v>2.1040740740740738</v>
      </c>
      <c r="Q35" s="5">
        <f t="shared" si="11"/>
        <v>-2.4185962962962964</v>
      </c>
      <c r="R35" s="5">
        <f t="shared" si="20"/>
        <v>-0.79813677777777781</v>
      </c>
      <c r="S35" s="5">
        <f t="shared" si="12"/>
        <v>-1.6204595185185187</v>
      </c>
      <c r="T35" s="4"/>
      <c r="U35" s="5">
        <f t="shared" si="13"/>
        <v>0</v>
      </c>
      <c r="V35" s="5">
        <f t="shared" si="21"/>
        <v>0</v>
      </c>
      <c r="W35" s="5">
        <f t="shared" si="22"/>
        <v>0</v>
      </c>
      <c r="X35" s="5">
        <f t="shared" si="14"/>
        <v>0</v>
      </c>
      <c r="Y35" s="5">
        <f t="shared" si="15"/>
        <v>0</v>
      </c>
      <c r="Z35" s="5">
        <f t="shared" si="16"/>
        <v>0</v>
      </c>
    </row>
    <row r="36" spans="1:26" x14ac:dyDescent="0.2">
      <c r="A36" s="19" t="s">
        <v>353</v>
      </c>
      <c r="B36" s="74">
        <v>0.5</v>
      </c>
      <c r="C36" s="74">
        <v>0</v>
      </c>
      <c r="D36" s="90" t="b">
        <f>IF('Machinery(Corn)'!C16='Machinery(Corn)'!B69,IF('Machinery(Corn)'!B32='Machinery(Corn)'!G52,'Machinery(Corn)'!D32,0))</f>
        <v>0</v>
      </c>
      <c r="E36" s="95" t="b">
        <f>IF('Machinery(Corn)'!$C$17='Machinery(Corn)'!$B$72,D36,IF('Machinery(Corn)'!$C$16='Machinery(Corn)'!$B$69,IF('Machinery(Corn)'!B32='Machinery(Corn)'!G52,B36,C36)))</f>
        <v>0</v>
      </c>
      <c r="F36" s="289" t="str">
        <f>IF('Machinery(Corn)'!C17='Machinery(Corn)'!B73,'Machinery(Corn)'!B50,IF('Machinery(Corn)'!C16='Machinery(Corn)'!B69,IF('Machinery(Corn)'!B32='Machinery(Corn)'!G52,'Machinery(Corn)'!E32,'Machinery(Corn)'!B50)))</f>
        <v>N</v>
      </c>
      <c r="G36" s="29"/>
      <c r="H36" s="6">
        <v>12.5</v>
      </c>
      <c r="I36" s="111">
        <f>H36+J36+K36</f>
        <v>13.873250000000001</v>
      </c>
      <c r="J36" s="111">
        <f>L36*(B$3-B$2)</f>
        <v>0.80400000000000005</v>
      </c>
      <c r="K36" s="111">
        <f>(B$4*(1-B$7)+B$6*(B$7) - B$14)*O36</f>
        <v>0.56924999999999992</v>
      </c>
      <c r="L36" s="10">
        <v>0.53600000000000003</v>
      </c>
      <c r="M36" s="67">
        <f t="shared" si="17"/>
        <v>2.1574</v>
      </c>
      <c r="N36" s="11">
        <v>9.9000000000000005E-2</v>
      </c>
      <c r="O36" s="113">
        <f t="shared" si="18"/>
        <v>0.11384999999999999</v>
      </c>
      <c r="P36" s="5">
        <f t="shared" si="19"/>
        <v>2.2769999999999997</v>
      </c>
      <c r="Q36" s="5">
        <f t="shared" si="11"/>
        <v>9.4388500000000004</v>
      </c>
      <c r="R36" s="5">
        <f t="shared" si="20"/>
        <v>3.1148205000000004</v>
      </c>
      <c r="S36" s="5">
        <f t="shared" si="12"/>
        <v>6.3240295</v>
      </c>
      <c r="T36" s="4"/>
      <c r="U36" s="5">
        <f>IF(U$15="Increase",IF(F36="y",0,IF($E36&gt;0,M36*$E36*(1+U$16),0)),IF(F36="y",0,IF($E36&gt;0,M36*$E36*(1-U$16),0)))</f>
        <v>0</v>
      </c>
      <c r="V36" s="5">
        <f t="shared" si="21"/>
        <v>0</v>
      </c>
      <c r="W36" s="5">
        <f t="shared" si="22"/>
        <v>0</v>
      </c>
      <c r="X36" s="5">
        <f>IF(X$15="Increase",IF(F36="y",0,IF($E36&gt;0,R36*$E36*(1+X$16),0)),IF(F36="y",0,IF($E36&gt;0,R36*$E36*(1-X$16),0)))</f>
        <v>0</v>
      </c>
      <c r="Y36" s="5">
        <f>IF(Y$15="Increase",IF(F36="y",0,IF($E36&gt;0,S36*$E36*(1+Y$16),0)),IF(F36="y",0,IF($E36&gt;0,S36*$E36*(1-Y$16),0)))</f>
        <v>0</v>
      </c>
      <c r="Z36" s="5">
        <f>IF(Z$15="Increase",IF(F36="y",I36*E36*(1+Z$16),0),IF(F36="y",I36*E36*(1-Z$16),0))</f>
        <v>0</v>
      </c>
    </row>
    <row r="37" spans="1:26" x14ac:dyDescent="0.2">
      <c r="A37" s="4" t="s">
        <v>26</v>
      </c>
      <c r="B37" s="74">
        <v>0.5</v>
      </c>
      <c r="C37" s="74">
        <v>0</v>
      </c>
      <c r="D37" s="90" t="b">
        <f>IF('Machinery(Corn)'!C16='Machinery(Corn)'!B69,IF('Machinery(Corn)'!B32='Machinery(Corn)'!G51,'Machinery(Corn)'!D32,0))</f>
        <v>0</v>
      </c>
      <c r="E37" s="95" t="b">
        <f>IF('Machinery(Corn)'!$C$17='Machinery(Corn)'!$B$72,D37,IF('Machinery(Corn)'!$C$16='Machinery(Corn)'!$B$69,IF('Machinery(Corn)'!B32='Machinery(Corn)'!G51,B37,C37)))</f>
        <v>0</v>
      </c>
      <c r="F37" s="289" t="str">
        <f>IF('Machinery(Corn)'!C17='Machinery(Corn)'!B73,'Machinery(Corn)'!B50,IF('Machinery(Corn)'!C16='Machinery(Corn)'!B69,IF('Machinery(Corn)'!B32='Machinery(Corn)'!G51,'Machinery(Corn)'!E32,'Machinery(Corn)'!B50)))</f>
        <v>N</v>
      </c>
      <c r="G37" s="29"/>
      <c r="H37" s="6">
        <v>18</v>
      </c>
      <c r="I37" s="110">
        <f>H37+J37+K37</f>
        <v>19.925981481481482</v>
      </c>
      <c r="J37" s="111">
        <f>L37*(B$3-B$2)</f>
        <v>1.1294999999999999</v>
      </c>
      <c r="K37" s="111">
        <f>(B$4*(1-B$7)+B$6*(B$7) - B$14)*O37</f>
        <v>0.79648148148148135</v>
      </c>
      <c r="L37" s="10">
        <v>0.753</v>
      </c>
      <c r="M37" s="67">
        <f t="shared" si="17"/>
        <v>3.0308249999999997</v>
      </c>
      <c r="N37" s="11">
        <v>0.13851851851851851</v>
      </c>
      <c r="O37" s="113">
        <f t="shared" si="18"/>
        <v>0.15929629629629627</v>
      </c>
      <c r="P37" s="5">
        <f t="shared" si="19"/>
        <v>3.1859259259259254</v>
      </c>
      <c r="Q37" s="5">
        <f t="shared" si="11"/>
        <v>13.709230555555557</v>
      </c>
      <c r="R37" s="5">
        <f t="shared" si="20"/>
        <v>4.5240460833333342</v>
      </c>
      <c r="S37" s="5">
        <f t="shared" si="12"/>
        <v>9.1851844722222218</v>
      </c>
      <c r="T37" s="4"/>
      <c r="U37" s="5">
        <f t="shared" si="13"/>
        <v>0</v>
      </c>
      <c r="V37" s="5">
        <f t="shared" si="21"/>
        <v>0</v>
      </c>
      <c r="W37" s="5">
        <f t="shared" si="22"/>
        <v>0</v>
      </c>
      <c r="X37" s="5">
        <f t="shared" si="14"/>
        <v>0</v>
      </c>
      <c r="Y37" s="5">
        <f t="shared" si="15"/>
        <v>0</v>
      </c>
      <c r="Z37" s="5">
        <f t="shared" si="16"/>
        <v>0</v>
      </c>
    </row>
    <row r="38" spans="1:26" x14ac:dyDescent="0.2">
      <c r="A38" s="4"/>
      <c r="B38" s="4"/>
      <c r="C38" s="4"/>
      <c r="D38" s="32"/>
      <c r="E38" s="97"/>
      <c r="F38" s="289"/>
      <c r="G38" s="29"/>
      <c r="H38" s="6"/>
      <c r="I38" s="6"/>
      <c r="J38" s="6"/>
      <c r="K38" s="6"/>
      <c r="L38" s="4"/>
      <c r="M38" s="4"/>
      <c r="N38" s="4"/>
      <c r="O38" s="4"/>
      <c r="P38" s="4"/>
      <c r="Q38" s="4"/>
      <c r="R38" s="4"/>
      <c r="S38" s="4"/>
      <c r="T38" s="4"/>
      <c r="U38" s="4"/>
      <c r="V38" s="4"/>
      <c r="W38" s="4"/>
      <c r="X38" s="4"/>
      <c r="Y38" s="4"/>
      <c r="Z38" s="4"/>
    </row>
    <row r="39" spans="1:26" x14ac:dyDescent="0.2">
      <c r="A39" s="9" t="s">
        <v>27</v>
      </c>
      <c r="B39" s="9"/>
      <c r="C39" s="9"/>
      <c r="D39" s="80"/>
      <c r="E39" s="97"/>
      <c r="F39" s="289"/>
      <c r="G39" s="29"/>
      <c r="H39" s="6"/>
      <c r="I39" s="6"/>
      <c r="J39" s="6"/>
      <c r="K39" s="6"/>
      <c r="L39" s="4"/>
      <c r="M39" s="4"/>
      <c r="N39" s="4"/>
      <c r="O39" s="4"/>
      <c r="P39" s="4"/>
      <c r="Q39" s="4"/>
      <c r="R39" s="4"/>
      <c r="S39" s="4"/>
      <c r="T39" s="4"/>
      <c r="U39" s="4"/>
      <c r="V39" s="4"/>
      <c r="W39" s="4"/>
      <c r="X39" s="4"/>
      <c r="Y39" s="4"/>
      <c r="Z39" s="4"/>
    </row>
    <row r="40" spans="1:26" x14ac:dyDescent="0.2">
      <c r="A40" s="4" t="s">
        <v>28</v>
      </c>
      <c r="B40" s="74">
        <v>0</v>
      </c>
      <c r="C40" s="74">
        <v>1</v>
      </c>
      <c r="D40" s="90">
        <f>IF('Machinery(Corn)'!C16='Machinery(Corn)'!B69,0,'Machinery(Corn)'!D22)</f>
        <v>1</v>
      </c>
      <c r="E40" s="95">
        <f>IF('Machinery(Corn)'!$C$17='Machinery(Corn)'!$B$72,D40,IF('Machinery(Corn)'!$C$16='Machinery(Corn)'!$B$69,B40,C40))</f>
        <v>1</v>
      </c>
      <c r="F40" s="289" t="str">
        <f>IF('Machinery(Corn)'!C17='Machinery(Corn)'!B73,'Machinery(Corn)'!B50,'Machinery(Corn)'!E22)</f>
        <v>N</v>
      </c>
      <c r="G40" s="29"/>
      <c r="H40" s="6">
        <v>20.5</v>
      </c>
      <c r="I40" s="110">
        <f>H40+J40+K40</f>
        <v>22.283532407407407</v>
      </c>
      <c r="J40" s="111">
        <f>L40*(B$3-B$2)</f>
        <v>1.1936249999999999</v>
      </c>
      <c r="K40" s="111">
        <f>(B$4*(1-B$7)+B$6*(B$7) - B$14)*O40</f>
        <v>0.58990740740740744</v>
      </c>
      <c r="L40" s="10">
        <v>0.79574999999999996</v>
      </c>
      <c r="M40" s="67">
        <f>L40*B$3*(1+B$13)</f>
        <v>3.2028937499999994</v>
      </c>
      <c r="N40" s="11">
        <v>0.1025925925925926</v>
      </c>
      <c r="O40" s="113">
        <f t="shared" ref="O40:O44" si="23">N40*(1+B$16)</f>
        <v>0.11798148148148148</v>
      </c>
      <c r="P40" s="5">
        <f t="shared" ref="P40:P44" si="24">O40*B$4*(1-B$7)+O40*B$6*(B$7)</f>
        <v>2.3596296296296297</v>
      </c>
      <c r="Q40" s="5">
        <f t="shared" ref="Q40:Q44" si="25">I40-M40-P40</f>
        <v>16.721009027777775</v>
      </c>
      <c r="R40" s="5">
        <f t="shared" ref="R40:R44" si="26">Q40*B$12</f>
        <v>5.517932979166666</v>
      </c>
      <c r="S40" s="5">
        <f t="shared" ref="S40:S44" si="27">Q40-R40</f>
        <v>11.203076048611109</v>
      </c>
      <c r="T40" s="4"/>
      <c r="U40" s="5">
        <f t="shared" ref="U40:U44" si="28">IF(U$15="Increase",IF(F40="y",0,IF($E40&gt;0,M40*$E40*(1+U$16),0)),IF(F40="y",0,IF($E40&gt;0,M40*$E40*(1-U$16),0)))</f>
        <v>3.2028937499999994</v>
      </c>
      <c r="V40" s="5">
        <f t="shared" ref="V40:V44" si="29">IF(V$15="Increase",IF(F40="y",0,IF($E40&gt;0,(O40*B$4*(1-B$7))*$E40*(1+V$16),0)),IF(F40="y",0,IF($E40&gt;0,(O40*B$4*(1-B$7))*$E40*(1-V$16),0)))</f>
        <v>2.3596296296296297</v>
      </c>
      <c r="W40" s="5">
        <f t="shared" ref="W40:W44" si="30">IF(W$15="Increase",IF(F40="y",0,IF($E40&gt;0,(O40*B$6*(B$7))*$E40*(1+W$16),0)),IF(F40="y",0,IF($E40&gt;0,(O40*B$6*(B$7))*$E40*(1-W$16),0)))</f>
        <v>0</v>
      </c>
      <c r="X40" s="5">
        <f t="shared" ref="X40:X44" si="31">IF(X$15="Increase",IF(F40="y",0,IF($E40&gt;0,R40*$E40*(1+X$16),0)),IF(F40="y",0,IF($E40&gt;0,R40*$E40*(1-X$16),0)))</f>
        <v>5.517932979166666</v>
      </c>
      <c r="Y40" s="5">
        <f t="shared" ref="Y40:Y44" si="32">IF(Y$15="Increase",IF(F40="y",0,IF($E40&gt;0,S40*$E40*(1+Y$16),0)),IF(F40="y",0,IF($E40&gt;0,S40*$E40*(1-Y$16),0)))</f>
        <v>11.203076048611109</v>
      </c>
      <c r="Z40" s="5">
        <f t="shared" ref="Z40:Z44" si="33">IF(Z$15="Increase",IF(F40="y",I40*E40*(1+Z$16),0),IF(F40="y",I40*E40*(1-Z$16),0))</f>
        <v>0</v>
      </c>
    </row>
    <row r="41" spans="1:26" x14ac:dyDescent="0.2">
      <c r="A41" s="4" t="s">
        <v>24</v>
      </c>
      <c r="B41" s="4"/>
      <c r="C41" s="4"/>
      <c r="D41" s="32"/>
      <c r="E41" s="97"/>
      <c r="F41" s="289"/>
      <c r="G41" s="29"/>
      <c r="H41" s="6"/>
      <c r="I41" s="6">
        <f>IF(G41&gt;0,G41,H41-(L41*B$2*1.05)+M41-O41*12.5+P41)</f>
        <v>2.4166798611111107</v>
      </c>
      <c r="J41" s="6"/>
      <c r="K41" s="6"/>
      <c r="L41" s="10">
        <v>0.79574999999999996</v>
      </c>
      <c r="M41" s="67">
        <f t="shared" ref="M41:M44" si="34">L41*B$3*(1+B$13)</f>
        <v>3.2028937499999994</v>
      </c>
      <c r="N41" s="11">
        <v>0.1025925925925926</v>
      </c>
      <c r="O41" s="113">
        <f t="shared" si="23"/>
        <v>0.11798148148148148</v>
      </c>
      <c r="P41" s="5">
        <f t="shared" si="24"/>
        <v>2.3596296296296297</v>
      </c>
      <c r="Q41" s="5">
        <f t="shared" si="25"/>
        <v>-3.1458435185185185</v>
      </c>
      <c r="R41" s="5">
        <f t="shared" si="26"/>
        <v>-1.0381283611111112</v>
      </c>
      <c r="S41" s="5">
        <f t="shared" si="27"/>
        <v>-2.1077151574074073</v>
      </c>
      <c r="T41" s="4"/>
      <c r="U41" s="5">
        <f t="shared" si="28"/>
        <v>0</v>
      </c>
      <c r="V41" s="5">
        <f t="shared" si="29"/>
        <v>0</v>
      </c>
      <c r="W41" s="5">
        <f t="shared" si="30"/>
        <v>0</v>
      </c>
      <c r="X41" s="5">
        <f t="shared" si="31"/>
        <v>0</v>
      </c>
      <c r="Y41" s="5">
        <f t="shared" si="32"/>
        <v>0</v>
      </c>
      <c r="Z41" s="5">
        <f t="shared" si="33"/>
        <v>0</v>
      </c>
    </row>
    <row r="42" spans="1:26" x14ac:dyDescent="0.2">
      <c r="A42" s="4" t="s">
        <v>25</v>
      </c>
      <c r="B42" s="4"/>
      <c r="C42" s="4"/>
      <c r="D42" s="32"/>
      <c r="E42" s="97"/>
      <c r="F42" s="289"/>
      <c r="G42" s="29"/>
      <c r="H42" s="6"/>
      <c r="I42" s="6">
        <f>IF(G42&gt;0,G42,H42-(L42*B$2*1.05)+M42-O42*12.5+P42)</f>
        <v>2.4166798611111107</v>
      </c>
      <c r="J42" s="6"/>
      <c r="K42" s="6"/>
      <c r="L42" s="10">
        <v>0.79574999999999996</v>
      </c>
      <c r="M42" s="67">
        <f t="shared" si="34"/>
        <v>3.2028937499999994</v>
      </c>
      <c r="N42" s="11">
        <v>0.1025925925925926</v>
      </c>
      <c r="O42" s="113">
        <f t="shared" si="23"/>
        <v>0.11798148148148148</v>
      </c>
      <c r="P42" s="5">
        <f t="shared" si="24"/>
        <v>2.3596296296296297</v>
      </c>
      <c r="Q42" s="5">
        <f t="shared" si="25"/>
        <v>-3.1458435185185185</v>
      </c>
      <c r="R42" s="5">
        <f t="shared" si="26"/>
        <v>-1.0381283611111112</v>
      </c>
      <c r="S42" s="5">
        <f t="shared" si="27"/>
        <v>-2.1077151574074073</v>
      </c>
      <c r="T42" s="4"/>
      <c r="U42" s="5">
        <f t="shared" si="28"/>
        <v>0</v>
      </c>
      <c r="V42" s="5">
        <f t="shared" si="29"/>
        <v>0</v>
      </c>
      <c r="W42" s="5">
        <f t="shared" si="30"/>
        <v>0</v>
      </c>
      <c r="X42" s="5">
        <f t="shared" si="31"/>
        <v>0</v>
      </c>
      <c r="Y42" s="5">
        <f t="shared" si="32"/>
        <v>0</v>
      </c>
      <c r="Z42" s="5">
        <f t="shared" si="33"/>
        <v>0</v>
      </c>
    </row>
    <row r="43" spans="1:26" x14ac:dyDescent="0.2">
      <c r="A43" s="19" t="s">
        <v>353</v>
      </c>
      <c r="B43" s="74">
        <v>0</v>
      </c>
      <c r="C43" s="74">
        <v>0.5</v>
      </c>
      <c r="D43" s="90">
        <f>IF('Machinery(Corn)'!C16='Machinery(Corn)'!B68,IF('Machinery(Corn)'!B32='Machinery(Corn)'!G52,'Machinery(Corn)'!D32,0))</f>
        <v>0</v>
      </c>
      <c r="E43" s="95">
        <f>IF('Machinery(Corn)'!$C$17='Machinery(Corn)'!$B$72,D43,IF('Machinery(Corn)'!$C$16='Machinery(Corn)'!$B$68,IF('Machinery(Corn)'!B32='Machinery(Corn)'!G52,C43,B43)))</f>
        <v>0</v>
      </c>
      <c r="F43" s="289" t="str">
        <f>IF('Machinery(Corn)'!C17='Machinery(Corn)'!B73,'Machinery(Corn)'!B50,IF('Machinery(Corn)'!C16='Machinery(Corn)'!B68,IF('Machinery(Corn)'!B32='Machinery(Corn)'!G52,'Machinery(Corn)'!E32,'Machinery(Corn)'!B50)))</f>
        <v>N</v>
      </c>
      <c r="G43" s="29"/>
      <c r="H43" s="6">
        <v>12.5</v>
      </c>
      <c r="I43" s="111">
        <f t="shared" ref="I43:I44" si="35">H43+J43+K43</f>
        <v>13.873250000000001</v>
      </c>
      <c r="J43" s="111">
        <f t="shared" ref="J43:J44" si="36">L43*(B$3-B$2)</f>
        <v>0.80400000000000005</v>
      </c>
      <c r="K43" s="111">
        <f t="shared" ref="K43:K44" si="37">(B$4*(1-B$7)+B$6*(B$7) - B$14)*O43</f>
        <v>0.56924999999999992</v>
      </c>
      <c r="L43" s="10">
        <v>0.53600000000000003</v>
      </c>
      <c r="M43" s="67">
        <f t="shared" si="34"/>
        <v>2.1574</v>
      </c>
      <c r="N43" s="11">
        <v>9.9000000000000005E-2</v>
      </c>
      <c r="O43" s="113">
        <f t="shared" si="23"/>
        <v>0.11384999999999999</v>
      </c>
      <c r="P43" s="5">
        <f t="shared" si="24"/>
        <v>2.2769999999999997</v>
      </c>
      <c r="Q43" s="5">
        <f t="shared" si="25"/>
        <v>9.4388500000000004</v>
      </c>
      <c r="R43" s="5">
        <f t="shared" si="26"/>
        <v>3.1148205000000004</v>
      </c>
      <c r="S43" s="5">
        <f t="shared" si="27"/>
        <v>6.3240295</v>
      </c>
      <c r="T43" s="4"/>
      <c r="U43" s="5">
        <f t="shared" si="28"/>
        <v>0</v>
      </c>
      <c r="V43" s="5">
        <f t="shared" si="29"/>
        <v>0</v>
      </c>
      <c r="W43" s="5">
        <f t="shared" si="30"/>
        <v>0</v>
      </c>
      <c r="X43" s="5">
        <f t="shared" si="31"/>
        <v>0</v>
      </c>
      <c r="Y43" s="5">
        <f t="shared" si="32"/>
        <v>0</v>
      </c>
      <c r="Z43" s="5">
        <f t="shared" si="33"/>
        <v>0</v>
      </c>
    </row>
    <row r="44" spans="1:26" x14ac:dyDescent="0.2">
      <c r="A44" s="4" t="s">
        <v>26</v>
      </c>
      <c r="B44" s="74">
        <v>0</v>
      </c>
      <c r="C44" s="74">
        <v>0.5</v>
      </c>
      <c r="D44" s="90">
        <f>IF('Machinery(Corn)'!C16='Machinery(Corn)'!B68,IF('Machinery(Corn)'!B32='Machinery(Corn)'!G51,'Machinery(Corn)'!D32,0))</f>
        <v>0</v>
      </c>
      <c r="E44" s="95">
        <f>IF('Machinery(Corn)'!$C$17='Machinery(Corn)'!$B$72,D44,IF('Machinery(Corn)'!$C$16='Machinery(Corn)'!$B$68,IF('Machinery(Corn)'!B32='Machinery(Corn)'!G51,C44,B44)))</f>
        <v>0</v>
      </c>
      <c r="F44" s="289" t="str">
        <f>IF('Machinery(Corn)'!C17='Machinery(Corn)'!B73,'Machinery(Corn)'!B50,IF('Machinery(Corn)'!C16='Machinery(Corn)'!B68,IF('Machinery(Corn)'!B32='Machinery(Corn)'!G51,'Machinery(Corn)'!E32,'Machinery(Corn)'!B50)))</f>
        <v>N</v>
      </c>
      <c r="G44" s="29"/>
      <c r="H44" s="6">
        <v>19</v>
      </c>
      <c r="I44" s="110">
        <f t="shared" si="35"/>
        <v>20.993810185185186</v>
      </c>
      <c r="J44" s="111">
        <f t="shared" si="36"/>
        <v>1.276125</v>
      </c>
      <c r="K44" s="111">
        <f t="shared" si="37"/>
        <v>0.7176851851851852</v>
      </c>
      <c r="L44" s="10">
        <v>0.85075000000000001</v>
      </c>
      <c r="M44" s="67">
        <f t="shared" si="34"/>
        <v>3.42426875</v>
      </c>
      <c r="N44" s="11">
        <v>0.12481481481481482</v>
      </c>
      <c r="O44" s="113">
        <f t="shared" si="23"/>
        <v>0.14353703703703705</v>
      </c>
      <c r="P44" s="5">
        <f t="shared" si="24"/>
        <v>2.8707407407407408</v>
      </c>
      <c r="Q44" s="5">
        <f t="shared" si="25"/>
        <v>14.698800694444445</v>
      </c>
      <c r="R44" s="5">
        <f t="shared" si="26"/>
        <v>4.8506042291666676</v>
      </c>
      <c r="S44" s="5">
        <f t="shared" si="27"/>
        <v>9.8481964652777769</v>
      </c>
      <c r="T44" s="4"/>
      <c r="U44" s="5">
        <f t="shared" si="28"/>
        <v>0</v>
      </c>
      <c r="V44" s="5">
        <f t="shared" si="29"/>
        <v>0</v>
      </c>
      <c r="W44" s="5">
        <f t="shared" si="30"/>
        <v>0</v>
      </c>
      <c r="X44" s="5">
        <f t="shared" si="31"/>
        <v>0</v>
      </c>
      <c r="Y44" s="5">
        <f t="shared" si="32"/>
        <v>0</v>
      </c>
      <c r="Z44" s="5">
        <f t="shared" si="33"/>
        <v>0</v>
      </c>
    </row>
    <row r="45" spans="1:26" x14ac:dyDescent="0.2">
      <c r="A45" s="4"/>
      <c r="B45" s="4"/>
      <c r="C45" s="4"/>
      <c r="D45" s="32"/>
      <c r="E45" s="97"/>
      <c r="F45" s="289"/>
      <c r="G45" s="29"/>
      <c r="H45" s="6"/>
      <c r="I45" s="6"/>
      <c r="J45" s="6"/>
      <c r="K45" s="6"/>
      <c r="L45" s="4"/>
      <c r="M45" s="4"/>
      <c r="N45" s="4"/>
      <c r="O45" s="4"/>
      <c r="P45" s="4"/>
      <c r="Q45" s="4"/>
      <c r="R45" s="4"/>
      <c r="S45" s="4"/>
      <c r="T45" s="4"/>
      <c r="U45" s="4"/>
      <c r="V45" s="4"/>
      <c r="W45" s="4"/>
      <c r="X45" s="4"/>
      <c r="Y45" s="4"/>
      <c r="Z45" s="4"/>
    </row>
    <row r="46" spans="1:26" x14ac:dyDescent="0.2">
      <c r="A46" s="9" t="s">
        <v>29</v>
      </c>
      <c r="B46" s="9"/>
      <c r="C46" s="9"/>
      <c r="D46" s="80"/>
      <c r="E46" s="97"/>
      <c r="F46" s="289"/>
      <c r="G46" s="29"/>
      <c r="H46" s="6"/>
      <c r="I46" s="6"/>
      <c r="J46" s="6"/>
      <c r="K46" s="6"/>
      <c r="L46" s="4"/>
      <c r="M46" s="4"/>
      <c r="N46" s="4"/>
      <c r="O46" s="4"/>
      <c r="P46" s="4"/>
      <c r="Q46" s="4"/>
      <c r="R46" s="4"/>
      <c r="S46" s="4"/>
      <c r="T46" s="4"/>
      <c r="U46" s="4"/>
      <c r="V46" s="4"/>
      <c r="W46" s="4"/>
      <c r="X46" s="4"/>
      <c r="Y46" s="4"/>
      <c r="Z46" s="4"/>
    </row>
    <row r="47" spans="1:26" x14ac:dyDescent="0.2">
      <c r="A47" s="4" t="s">
        <v>30</v>
      </c>
      <c r="B47" s="74">
        <v>1</v>
      </c>
      <c r="C47" s="74">
        <v>1</v>
      </c>
      <c r="D47" s="90">
        <f>'Machinery(Corn)'!D26</f>
        <v>1</v>
      </c>
      <c r="E47" s="95">
        <f>IF('Machinery(Corn)'!$C$17='Machinery(Corn)'!$B$72,D47,IF('Machinery(Corn)'!$C$16='Machinery(Corn)'!$B$69,B47,C47))</f>
        <v>1</v>
      </c>
      <c r="F47" s="289" t="str">
        <f>IF('Machinery(Corn)'!C17='Machinery(Corn)'!B73,'Machinery(Corn)'!B50,'Machinery(Corn)'!E26)</f>
        <v>N</v>
      </c>
      <c r="G47" s="29"/>
      <c r="H47" s="6">
        <v>32.5</v>
      </c>
      <c r="I47" s="110">
        <f>H47+J47+K47</f>
        <v>36.964995370370374</v>
      </c>
      <c r="J47" s="111">
        <f>L47*(B$3-B$2)</f>
        <v>3.3746249999999995</v>
      </c>
      <c r="K47" s="111">
        <f>(B$4*(1-B$7)+B$6*(B$7) - B$14)*O47</f>
        <v>1.0903703703703702</v>
      </c>
      <c r="L47" s="10">
        <v>2.2497499999999997</v>
      </c>
      <c r="M47" s="67">
        <f t="shared" ref="M47:M50" si="38">L47*B$3*(1+B$13)</f>
        <v>9.0552437499999989</v>
      </c>
      <c r="N47" s="11">
        <v>0.18962962962962962</v>
      </c>
      <c r="O47" s="113">
        <f t="shared" ref="O47" si="39">N47*(1+B$16)</f>
        <v>0.21807407407407406</v>
      </c>
      <c r="P47" s="5">
        <f>O47*B$4*(1-B$7)+O47*B$6*(B$7)</f>
        <v>4.3614814814814808</v>
      </c>
      <c r="Q47" s="5">
        <f t="shared" ref="Q47:Q50" si="40">I47-M47-P47</f>
        <v>23.548270138888896</v>
      </c>
      <c r="R47" s="5">
        <f>Q47*B$12</f>
        <v>7.7709291458333363</v>
      </c>
      <c r="S47" s="5">
        <f t="shared" ref="S47:S50" si="41">Q47-R47</f>
        <v>15.77734099305556</v>
      </c>
      <c r="T47" s="4"/>
      <c r="U47" s="5">
        <f t="shared" ref="U47:U50" si="42">IF(U$15="Increase",IF(F47="y",0,IF($E47&gt;0,M47*$E47*(1+U$16),0)),IF(F47="y",0,IF($E47&gt;0,M47*$E47*(1-U$16),0)))</f>
        <v>9.0552437499999989</v>
      </c>
      <c r="V47" s="5">
        <f>IF(V$15="Increase",IF(F47="y",0,IF($E47&gt;0,(O47*B$4*(1-B$7))*$E47*(1+V$16),0)),IF(F47="y",0,IF($E47&gt;0,(O47*B$4*(1-B$7))*$E47*(1-V$16),0)))</f>
        <v>4.3614814814814808</v>
      </c>
      <c r="W47" s="5">
        <f>IF(W$15="Increase",IF(F47="y",0,IF($E47&gt;0,(O47*B$6*(B$7))*$E47*(1+W$16),0)),IF(F47="y",0,IF($E47&gt;0,(O47*B$6*(B$7))*$E47*(1-W$16),0)))</f>
        <v>0</v>
      </c>
      <c r="X47" s="5">
        <f t="shared" ref="X47:X50" si="43">IF(X$15="Increase",IF(F47="y",0,IF($E47&gt;0,R47*$E47*(1+X$16),0)),IF(F47="y",0,IF($E47&gt;0,R47*$E47*(1-X$16),0)))</f>
        <v>7.7709291458333363</v>
      </c>
      <c r="Y47" s="5">
        <f t="shared" ref="Y47:Y50" si="44">IF(Y$15="Increase",IF(F47="y",0,IF($E47&gt;0,S47*$E47*(1+Y$16),0)),IF(F47="y",0,IF($E47&gt;0,S47*$E47*(1-Y$16),0)))</f>
        <v>15.77734099305556</v>
      </c>
      <c r="Z47" s="5">
        <f t="shared" ref="Z47:Z50" si="45">IF(Z$15="Increase",IF(F47="y",I47*E47*(1+Z$16),0),IF(F47="y",I47*E47*(1-Z$16),0))</f>
        <v>0</v>
      </c>
    </row>
    <row r="48" spans="1:26" x14ac:dyDescent="0.2">
      <c r="A48" s="4" t="s">
        <v>31</v>
      </c>
      <c r="B48" s="4"/>
      <c r="C48" s="4"/>
      <c r="D48" s="32"/>
      <c r="E48" s="25"/>
      <c r="F48" s="290"/>
      <c r="G48" s="29"/>
      <c r="H48" s="6"/>
      <c r="I48" s="6">
        <f>IF(G48&gt;0,G48,H48-(L48*B$2*1.05)+M48-O48*12.5+P48)</f>
        <v>4.9731375</v>
      </c>
      <c r="J48" s="6"/>
      <c r="K48" s="6"/>
      <c r="L48" s="10">
        <v>1.8815</v>
      </c>
      <c r="M48" s="67">
        <f t="shared" si="38"/>
        <v>7.5730374999999999</v>
      </c>
      <c r="N48" s="11">
        <v>0.15666666666666668</v>
      </c>
      <c r="O48" s="113">
        <f t="shared" ref="O48:O50" si="46">N48*(1+B$16)</f>
        <v>0.18016666666666667</v>
      </c>
      <c r="P48" s="5">
        <f>O48*B$4*(1-B$7)+O48*B$6*(B$7)</f>
        <v>3.6033333333333335</v>
      </c>
      <c r="Q48" s="5">
        <f t="shared" si="40"/>
        <v>-6.2032333333333334</v>
      </c>
      <c r="R48" s="5">
        <f>Q48*B$12</f>
        <v>-2.0470670000000002</v>
      </c>
      <c r="S48" s="5">
        <f t="shared" si="41"/>
        <v>-4.1561663333333332</v>
      </c>
      <c r="T48" s="4"/>
      <c r="U48" s="5">
        <f t="shared" si="42"/>
        <v>0</v>
      </c>
      <c r="V48" s="5">
        <f>IF(V$15="Increase",IF(F48="y",0,IF($E48&gt;0,(O48*B$4*(1-B$7))*$E48*(1+V$16),0)),IF(F48="y",0,IF($E48&gt;0,(O48*B$4*(1-B$7))*$E48*(1-V$16),0)))</f>
        <v>0</v>
      </c>
      <c r="W48" s="5">
        <f>IF(W$15="Increase",IF(F48="y",0,IF($E48&gt;0,(O48*B$6*(B$7))*$E48*(1+W$16),0)),IF(F48="y",0,IF($E48&gt;0,(O48*B$6*(B$7))*$E48*(1-W$16),0)))</f>
        <v>0</v>
      </c>
      <c r="X48" s="5">
        <f t="shared" si="43"/>
        <v>0</v>
      </c>
      <c r="Y48" s="5">
        <f t="shared" si="44"/>
        <v>0</v>
      </c>
      <c r="Z48" s="5">
        <f t="shared" si="45"/>
        <v>0</v>
      </c>
    </row>
    <row r="49" spans="1:28" x14ac:dyDescent="0.2">
      <c r="A49" s="4" t="s">
        <v>32</v>
      </c>
      <c r="B49" s="4"/>
      <c r="C49" s="4"/>
      <c r="D49" s="32"/>
      <c r="E49" s="25"/>
      <c r="F49" s="290"/>
      <c r="G49" s="29"/>
      <c r="H49" s="6"/>
      <c r="I49" s="6">
        <f>IF(G49&gt;0,G49,H49-(L49*B$2*1.05)+M49-O49*12.5+P49)</f>
        <v>3.9029506944444448</v>
      </c>
      <c r="J49" s="6"/>
      <c r="K49" s="6"/>
      <c r="L49" s="10">
        <v>1.4732500000000002</v>
      </c>
      <c r="M49" s="67">
        <f t="shared" si="38"/>
        <v>5.9298312500000003</v>
      </c>
      <c r="N49" s="11">
        <v>0.1237037037037037</v>
      </c>
      <c r="O49" s="113">
        <f t="shared" si="46"/>
        <v>0.14225925925925925</v>
      </c>
      <c r="P49" s="5">
        <f>O49*B$4*(1-B$7)+O49*B$6*(B$7)</f>
        <v>2.8451851851851853</v>
      </c>
      <c r="Q49" s="5">
        <f t="shared" si="40"/>
        <v>-4.8720657407407408</v>
      </c>
      <c r="R49" s="5">
        <f>Q49*B$12</f>
        <v>-1.6077816944444445</v>
      </c>
      <c r="S49" s="5">
        <f t="shared" si="41"/>
        <v>-3.2642840462962965</v>
      </c>
      <c r="T49" s="4"/>
      <c r="U49" s="5">
        <f t="shared" si="42"/>
        <v>0</v>
      </c>
      <c r="V49" s="5">
        <f>IF(V$15="Increase",IF(F49="y",0,IF($E49&gt;0,(O49*B$4*(1-B$7))*$E49*(1+V$16),0)),IF(F49="y",0,IF($E49&gt;0,(O49*B$4*(1-B$7))*$E49*(1-V$16),0)))</f>
        <v>0</v>
      </c>
      <c r="W49" s="5">
        <f>IF(W$15="Increase",IF(F49="y",0,IF($E49&gt;0,(O49*B$6*(B$7))*$E49*(1+W$16),0)),IF(F49="y",0,IF($E49&gt;0,(O49*B$6*(B$7))*$E49*(1-W$16),0)))</f>
        <v>0</v>
      </c>
      <c r="X49" s="5">
        <f t="shared" si="43"/>
        <v>0</v>
      </c>
      <c r="Y49" s="5">
        <f t="shared" si="44"/>
        <v>0</v>
      </c>
      <c r="Z49" s="5">
        <f t="shared" si="45"/>
        <v>0</v>
      </c>
    </row>
    <row r="50" spans="1:28" x14ac:dyDescent="0.2">
      <c r="A50" s="4" t="s">
        <v>47</v>
      </c>
      <c r="B50" s="74">
        <v>1</v>
      </c>
      <c r="C50" s="74">
        <v>1</v>
      </c>
      <c r="D50" s="90">
        <f>'Machinery(Corn)'!D27</f>
        <v>1</v>
      </c>
      <c r="E50" s="69">
        <f>IF('Machinery(Corn)'!$C$17='Machinery(Corn)'!$B$72,D50,IF('Machinery(Corn)'!$C$16='Machinery(Corn)'!$B$69,B50,C50))</f>
        <v>1</v>
      </c>
      <c r="F50" s="290" t="str">
        <f>IF('Machinery(Corn)'!C17='Machinery(Corn)'!B73,'Machinery(Corn)'!B50,'Machinery(Corn)'!E27)</f>
        <v>N</v>
      </c>
      <c r="G50" s="29"/>
      <c r="H50" s="6">
        <v>5.5</v>
      </c>
      <c r="I50" s="110">
        <f>H50+J50+K50</f>
        <v>6.3150000000000004</v>
      </c>
      <c r="J50" s="111">
        <f>L50*(B$3-B$2)</f>
        <v>0.24</v>
      </c>
      <c r="K50" s="111">
        <f>(B$4*(1-B$7)+B$6*(B$7) - B$14)*O50</f>
        <v>0.57499999999999996</v>
      </c>
      <c r="L50" s="10">
        <v>0.16</v>
      </c>
      <c r="M50" s="67">
        <f t="shared" si="38"/>
        <v>0.64400000000000002</v>
      </c>
      <c r="N50" s="11">
        <v>0.1</v>
      </c>
      <c r="O50" s="113">
        <f t="shared" si="46"/>
        <v>0.11499999999999999</v>
      </c>
      <c r="P50" s="5">
        <f>O50*B$4*(1-B$7)+O50*B$6*(B$7)</f>
        <v>2.2999999999999998</v>
      </c>
      <c r="Q50" s="5">
        <f t="shared" si="40"/>
        <v>3.3710000000000004</v>
      </c>
      <c r="R50" s="5">
        <f>Q50*B$12</f>
        <v>1.1124300000000003</v>
      </c>
      <c r="S50" s="5">
        <f t="shared" si="41"/>
        <v>2.2585700000000002</v>
      </c>
      <c r="T50" s="4"/>
      <c r="U50" s="5">
        <f t="shared" si="42"/>
        <v>0.64400000000000002</v>
      </c>
      <c r="V50" s="5">
        <f>IF(V$15="Increase",IF(F50="y",0,IF($E50&gt;0,(O50*B$4*(1-B$7))*$E50*(1+V$16),0)),IF(F50="y",0,IF($E50&gt;0,(O50*B$4*(1-B$7))*$E50*(1-V$16),0)))</f>
        <v>2.2999999999999998</v>
      </c>
      <c r="W50" s="5">
        <f>IF(W$15="Increase",IF(F50="y",0,IF($E50&gt;0,(O50*B$6*(B$7))*$E50*(1+W$16),0)),IF(F50="y",0,IF($E50&gt;0,(O50*B$6*(B$7))*$E50*(1-W$16),0)))</f>
        <v>0</v>
      </c>
      <c r="X50" s="5">
        <f t="shared" si="43"/>
        <v>1.1124300000000003</v>
      </c>
      <c r="Y50" s="5">
        <f t="shared" si="44"/>
        <v>2.2585700000000002</v>
      </c>
      <c r="Z50" s="5">
        <f t="shared" si="45"/>
        <v>0</v>
      </c>
      <c r="AA50" s="2"/>
    </row>
    <row r="51" spans="1:28" x14ac:dyDescent="0.2">
      <c r="A51" s="411" t="s">
        <v>102</v>
      </c>
      <c r="B51" s="412"/>
      <c r="C51" s="412"/>
      <c r="D51" s="412"/>
      <c r="E51" s="413"/>
      <c r="F51" s="291" t="str">
        <f>IF('Machinery(Corn)'!C17='Machinery(Corn)'!B73,'Machinery(Corn)'!B50,'Machinery(Corn)'!E29)</f>
        <v>N</v>
      </c>
      <c r="G51" s="115"/>
      <c r="H51" s="116"/>
      <c r="I51" s="116">
        <f>IF(G51&gt;0,G51,Trucking!H25*Corn!E6)</f>
        <v>35.937242648901467</v>
      </c>
      <c r="J51" s="116"/>
      <c r="K51" s="116"/>
      <c r="L51" s="117">
        <f>((Corn!E6*Trucking!B25*2)*(1+Trucking!C4))/(Trucking!C3*Trucking!C2)</f>
        <v>2.1921052631578948</v>
      </c>
      <c r="M51" s="118">
        <f>L51*Trucking!C9</f>
        <v>8.373842105263158</v>
      </c>
      <c r="N51" s="119"/>
      <c r="O51" s="119">
        <f>Corn!E6*((((B8*2)/Trucking!C7) + (Trucking!C5/60)))/Trucking!C2</f>
        <v>0.45730994152046778</v>
      </c>
      <c r="P51" s="118">
        <f>O51*B$4*(1-B$7)+O51*B$6*(B$7)</f>
        <v>9.1461988304093556</v>
      </c>
      <c r="Q51" s="118">
        <f>I51-M51-P51</f>
        <v>18.417201713228955</v>
      </c>
      <c r="R51" s="118">
        <f>Q51*B$12</f>
        <v>6.0776765653655556</v>
      </c>
      <c r="S51" s="118">
        <f>Q51-R51</f>
        <v>12.3395251478634</v>
      </c>
      <c r="T51" s="120"/>
      <c r="U51" s="118">
        <f>IF(Corn!C86=Corn!C84,0,IF(U$15="Increase",IF(F51="y",0,IF($B8&gt;0,M51*(1+U$16),0)),IF(F51="y",0,IF($B8&gt;0,M51*(1-U$16),0))))</f>
        <v>8.373842105263158</v>
      </c>
      <c r="V51" s="118">
        <f>IF(Corn!C86=Corn!C84,0,IF(V$15="Increase",IF(F51="y",0,IF($B8&gt;0,(O51*B$4*(1-B$7)*(1+V$16)),0)),IF(F51="y",0,IF($B8&gt;0,(O51*B$4*(1-B$7)*(1-V$16)),0))))</f>
        <v>9.1461988304093556</v>
      </c>
      <c r="W51" s="118">
        <f>IF(Corn!C86=Corn!C84,0,IF(W$15="Increase",IF(F51="y",0,IF($B8&gt;0,(O51*B$6*(B$7)*(1+W$16)),0)),IF(F51="y",0,IF($B8&gt;0,(O51*B$6*(B$7)*(1-W$16)),0))))</f>
        <v>0</v>
      </c>
      <c r="X51" s="118">
        <f>IF(Corn!C86=Corn!C84,0,IF(X$15="Increase",IF(F51="y",0,IF($B8&gt;0,R51*(1+X$16),0)),IF(F51="y",0,IF($B8&gt;0,R51*(1-X$16),0))))</f>
        <v>6.0776765653655556</v>
      </c>
      <c r="Y51" s="118">
        <f>IF(Corn!C86=Corn!C84,0,IF(Y$15="Increase",IF(F51="y",0,IF($B8&gt;0,S51*(1+Y$16),0)),IF(F51="y",0,IF($B8&gt;0,S51*(1-Y$16),0))))</f>
        <v>12.3395251478634</v>
      </c>
      <c r="Z51" s="118">
        <f>IF(Corn!C86=Corn!C84,0,IF(Z$15="Increase",IF(F51="y",I51*(1+Z$16),0),IF(F51="y",I51*(1-Z$16),0)))</f>
        <v>0</v>
      </c>
      <c r="AA51" s="2">
        <f>SUM(U51:Z51)</f>
        <v>35.937242648901467</v>
      </c>
      <c r="AB51" s="15" t="s">
        <v>275</v>
      </c>
    </row>
    <row r="52" spans="1:28" x14ac:dyDescent="0.2">
      <c r="A52" s="4"/>
      <c r="B52" s="4"/>
      <c r="C52" s="4"/>
      <c r="D52" s="4"/>
      <c r="E52" s="25"/>
      <c r="F52" s="26"/>
      <c r="G52" s="29"/>
      <c r="H52" s="6"/>
      <c r="I52" s="6"/>
      <c r="J52" s="6"/>
      <c r="K52" s="6"/>
      <c r="L52" s="4"/>
      <c r="M52" s="4"/>
      <c r="N52" s="4"/>
      <c r="O52" s="4"/>
      <c r="P52" s="4"/>
      <c r="Q52" s="4"/>
      <c r="R52" s="4"/>
      <c r="S52" s="4"/>
      <c r="T52" s="4"/>
      <c r="U52" s="4"/>
      <c r="V52" s="4"/>
      <c r="W52" s="4"/>
      <c r="X52" s="4"/>
      <c r="Y52" s="4"/>
      <c r="Z52" s="4"/>
      <c r="AA52" s="2">
        <f>AA51/Corn!E6</f>
        <v>0.21139554499353805</v>
      </c>
      <c r="AB52" s="15" t="s">
        <v>281</v>
      </c>
    </row>
    <row r="53" spans="1:28" x14ac:dyDescent="0.2">
      <c r="A53" s="9" t="s">
        <v>33</v>
      </c>
      <c r="B53" s="9"/>
      <c r="C53" s="9"/>
      <c r="D53" s="9"/>
      <c r="E53" s="25"/>
      <c r="F53" s="26"/>
      <c r="G53" s="29"/>
      <c r="H53" s="6"/>
      <c r="I53" s="6"/>
      <c r="J53" s="6"/>
      <c r="K53" s="6"/>
      <c r="L53" s="4"/>
      <c r="M53" s="4"/>
      <c r="N53" s="4"/>
      <c r="O53" s="4"/>
      <c r="P53" s="4"/>
      <c r="Q53" s="4"/>
      <c r="R53" s="4"/>
      <c r="S53" s="4"/>
      <c r="T53" s="4"/>
      <c r="U53" s="4"/>
      <c r="V53" s="4"/>
      <c r="W53" s="4"/>
      <c r="X53" s="4"/>
      <c r="Y53" s="4"/>
      <c r="Z53" s="4"/>
    </row>
    <row r="54" spans="1:28" x14ac:dyDescent="0.2">
      <c r="A54" s="4"/>
      <c r="B54" s="4"/>
      <c r="C54" s="4"/>
      <c r="D54" s="32"/>
      <c r="E54" s="25"/>
      <c r="F54" s="26"/>
      <c r="G54" s="29"/>
      <c r="H54" s="6"/>
      <c r="I54" s="6"/>
      <c r="J54" s="6"/>
      <c r="K54" s="6"/>
      <c r="L54" s="4"/>
      <c r="M54" s="4"/>
      <c r="N54" s="4"/>
      <c r="O54" s="4"/>
      <c r="P54" s="4"/>
      <c r="Q54" s="4"/>
      <c r="R54" s="4"/>
      <c r="S54" s="4"/>
      <c r="T54" s="4"/>
      <c r="U54" s="4"/>
      <c r="V54" s="4"/>
      <c r="W54" s="4"/>
      <c r="X54" s="4"/>
      <c r="Y54" s="4"/>
      <c r="Z54" s="4"/>
    </row>
    <row r="55" spans="1:28" x14ac:dyDescent="0.2">
      <c r="A55" s="9" t="s">
        <v>35</v>
      </c>
      <c r="B55" s="9"/>
      <c r="C55" s="9"/>
      <c r="D55" s="80"/>
      <c r="E55" s="25"/>
      <c r="F55" s="26"/>
      <c r="G55" s="29"/>
      <c r="H55" s="6"/>
      <c r="I55" s="6"/>
      <c r="J55" s="6"/>
      <c r="K55" s="6"/>
      <c r="L55" s="4"/>
      <c r="M55" s="4"/>
      <c r="N55" s="4"/>
      <c r="O55" s="4"/>
      <c r="P55" s="4"/>
      <c r="Q55" s="4"/>
      <c r="R55" s="4"/>
      <c r="S55" s="4"/>
      <c r="T55" s="4"/>
      <c r="U55" s="4"/>
      <c r="V55" s="4"/>
      <c r="W55" s="4"/>
      <c r="X55" s="4"/>
      <c r="Y55" s="4"/>
      <c r="Z55" s="4"/>
    </row>
    <row r="56" spans="1:28" x14ac:dyDescent="0.2">
      <c r="A56" s="4" t="s">
        <v>36</v>
      </c>
      <c r="B56" s="74">
        <v>2</v>
      </c>
      <c r="C56" s="74">
        <v>2</v>
      </c>
      <c r="D56" s="90">
        <f>'Machinery(Corn)'!D24</f>
        <v>2</v>
      </c>
      <c r="E56" s="69">
        <f>IF('Machinery(Corn)'!$C$17='Machinery(Corn)'!$B$72,D56,IF('Machinery(Corn)'!$C$16='Machinery(Corn)'!$B$69,B56,C56))</f>
        <v>2</v>
      </c>
      <c r="F56" s="290" t="str">
        <f>IF('Machinery(Corn)'!C17='Machinery(Corn)'!B73,'Machinery(Corn)'!B50,'Machinery(Corn)'!E24)</f>
        <v>N</v>
      </c>
      <c r="G56" s="29"/>
      <c r="H56" s="6">
        <v>6.5</v>
      </c>
      <c r="I56" s="110">
        <f>H56+J56+K56</f>
        <v>7.2122882967285262</v>
      </c>
      <c r="J56" s="111">
        <f>L56*(B$3-B$2)</f>
        <v>0.48725758744855963</v>
      </c>
      <c r="K56" s="111">
        <f>(B$4*(1-B$7)+B$6*(B$7) - B$14)*O56</f>
        <v>0.22503070927996624</v>
      </c>
      <c r="L56" s="10">
        <v>0.3248383916323731</v>
      </c>
      <c r="M56" s="67">
        <f t="shared" ref="M56:M60" si="47">L56*B$3*(1+B$13)</f>
        <v>1.3074745263203018</v>
      </c>
      <c r="N56" s="11">
        <v>3.9135775526950654E-2</v>
      </c>
      <c r="O56" s="113">
        <f t="shared" ref="O56:O60" si="48">N56*(1+B$16)</f>
        <v>4.5006141855993248E-2</v>
      </c>
      <c r="P56" s="5">
        <f t="shared" ref="P56:P60" si="49">O56*B$4*(1-B$7)+O56*B$6*(B$7)</f>
        <v>0.90012283711986496</v>
      </c>
      <c r="Q56" s="5">
        <f t="shared" ref="Q56:Q60" si="50">I56-M56-P56</f>
        <v>5.0046909332883596</v>
      </c>
      <c r="R56" s="5">
        <f t="shared" ref="R56:R60" si="51">Q56*B$12</f>
        <v>1.6515480079851588</v>
      </c>
      <c r="S56" s="5">
        <f>Q56-R56</f>
        <v>3.3531429253032008</v>
      </c>
      <c r="T56" s="4"/>
      <c r="U56" s="5">
        <f t="shared" ref="U56:U60" si="52">IF(U$15="Increase",IF(F56="y",0,IF($E56&gt;0,M56*$E56*(1+U$16),0)),IF(F56="y",0,IF($E56&gt;0,M56*$E56*(1-U$16),0)))</f>
        <v>2.6149490526406036</v>
      </c>
      <c r="V56" s="5">
        <f t="shared" ref="V56:V60" si="53">IF(V$15="Increase",IF(F56="y",0,IF($E56&gt;0,(O56*B$4*(1-B$7))*$E56*(1+V$16),0)),IF(F56="y",0,IF($E56&gt;0,(O56*B$4*(1-B$7))*$E56*(1-V$16),0)))</f>
        <v>1.8002456742397299</v>
      </c>
      <c r="W56" s="5">
        <f t="shared" ref="W56:W60" si="54">IF(W$15="Increase",IF(F56="y",0,IF($E56&gt;0,(O56*B$6*(B$7))*$E56*(1+W$16),0)),IF(F56="y",0,IF($E56&gt;0,(O56*B$6*(B$7))*$E56*(1-W$16),0)))</f>
        <v>0</v>
      </c>
      <c r="X56" s="5">
        <f t="shared" ref="X56:X60" si="55">IF(X$15="Increase",IF(F56="y",0,IF($E56&gt;0,R56*$E56*(1+X$16),0)),IF(F56="y",0,IF($E56&gt;0,R56*$E56*(1-X$16),0)))</f>
        <v>3.3030960159703175</v>
      </c>
      <c r="Y56" s="5">
        <f t="shared" ref="Y56:Y60" si="56">IF(Y$15="Increase",IF(F56="y",0,IF($E56&gt;0,S56*$E56*(1+Y$16),0)),IF(F56="y",0,IF($E56&gt;0,S56*$E56*(1-Y$16),0)))</f>
        <v>6.7062858506064016</v>
      </c>
      <c r="Z56" s="5">
        <f t="shared" ref="Z56:Z60" si="57">IF(Z$15="Increase",IF(F56="y",I56*E56*(1+Z$16),0),IF(F56="y",I56*E56*(1-Z$16),0))</f>
        <v>0</v>
      </c>
    </row>
    <row r="57" spans="1:28" x14ac:dyDescent="0.2">
      <c r="A57" s="4" t="s">
        <v>37</v>
      </c>
      <c r="B57" s="4"/>
      <c r="C57" s="4"/>
      <c r="D57" s="32"/>
      <c r="E57" s="25"/>
      <c r="F57" s="290"/>
      <c r="G57" s="29"/>
      <c r="H57" s="6"/>
      <c r="I57" s="6">
        <f>IF(G57&gt;0,G57,H57-(L57*B$2*1.05)+M57-O57*12.5+P57)</f>
        <v>1.2290831257822852</v>
      </c>
      <c r="J57" s="6"/>
      <c r="K57" s="6"/>
      <c r="L57" s="10">
        <v>0.41465363511659803</v>
      </c>
      <c r="M57" s="67">
        <f t="shared" si="47"/>
        <v>1.668980881344307</v>
      </c>
      <c r="N57" s="11">
        <v>4.9956507615401075E-2</v>
      </c>
      <c r="O57" s="113">
        <f t="shared" si="48"/>
        <v>5.744998375771123E-2</v>
      </c>
      <c r="P57" s="5">
        <f t="shared" si="49"/>
        <v>1.1489996751542246</v>
      </c>
      <c r="Q57" s="5">
        <f t="shared" si="50"/>
        <v>-1.5888974307162465</v>
      </c>
      <c r="R57" s="5">
        <f t="shared" si="51"/>
        <v>-0.52433615213636131</v>
      </c>
      <c r="S57" s="5">
        <f t="shared" ref="S57:S60" si="58">Q57-R57</f>
        <v>-1.0645612785798853</v>
      </c>
      <c r="T57" s="4"/>
      <c r="U57" s="5">
        <f t="shared" si="52"/>
        <v>0</v>
      </c>
      <c r="V57" s="5">
        <f t="shared" si="53"/>
        <v>0</v>
      </c>
      <c r="W57" s="5">
        <f t="shared" si="54"/>
        <v>0</v>
      </c>
      <c r="X57" s="5">
        <f t="shared" si="55"/>
        <v>0</v>
      </c>
      <c r="Y57" s="5">
        <f t="shared" si="56"/>
        <v>0</v>
      </c>
      <c r="Z57" s="5">
        <f t="shared" si="57"/>
        <v>0</v>
      </c>
    </row>
    <row r="58" spans="1:28" x14ac:dyDescent="0.2">
      <c r="A58" s="4" t="s">
        <v>38</v>
      </c>
      <c r="B58" s="4"/>
      <c r="C58" s="4"/>
      <c r="D58" s="32"/>
      <c r="E58" s="25"/>
      <c r="F58" s="290"/>
      <c r="G58" s="29"/>
      <c r="H58" s="6"/>
      <c r="I58" s="6">
        <f>IF(G58&gt;0,G58,H58-(L58*B$2*1.05)+M58-O58*12.5+P58)</f>
        <v>1.1756039363398498</v>
      </c>
      <c r="J58" s="6"/>
      <c r="K58" s="6"/>
      <c r="L58" s="10">
        <v>0.39661145404663922</v>
      </c>
      <c r="M58" s="67">
        <f t="shared" si="47"/>
        <v>1.5963611025377227</v>
      </c>
      <c r="N58" s="11">
        <v>4.778282751305156E-2</v>
      </c>
      <c r="O58" s="113">
        <f t="shared" si="48"/>
        <v>5.4950251640009287E-2</v>
      </c>
      <c r="P58" s="5">
        <f t="shared" si="49"/>
        <v>1.0990050328001857</v>
      </c>
      <c r="Q58" s="5">
        <f t="shared" si="50"/>
        <v>-1.5197621989980585</v>
      </c>
      <c r="R58" s="5">
        <f t="shared" si="51"/>
        <v>-0.50152152566935937</v>
      </c>
      <c r="S58" s="5">
        <f t="shared" si="58"/>
        <v>-1.0182406733286991</v>
      </c>
      <c r="T58" s="4"/>
      <c r="U58" s="5">
        <f t="shared" si="52"/>
        <v>0</v>
      </c>
      <c r="V58" s="5">
        <f t="shared" si="53"/>
        <v>0</v>
      </c>
      <c r="W58" s="5">
        <f t="shared" si="54"/>
        <v>0</v>
      </c>
      <c r="X58" s="5">
        <f t="shared" si="55"/>
        <v>0</v>
      </c>
      <c r="Y58" s="5">
        <f t="shared" si="56"/>
        <v>0</v>
      </c>
      <c r="Z58" s="5">
        <f t="shared" si="57"/>
        <v>0</v>
      </c>
    </row>
    <row r="59" spans="1:28" x14ac:dyDescent="0.2">
      <c r="A59" s="4" t="s">
        <v>39</v>
      </c>
      <c r="B59" s="74">
        <v>0</v>
      </c>
      <c r="C59" s="74">
        <v>0</v>
      </c>
      <c r="D59" s="90">
        <f>'Machinery(Corn)'!D25</f>
        <v>0</v>
      </c>
      <c r="E59" s="69">
        <f>IF('Machinery(Corn)'!$C$17='Machinery(Corn)'!$B$72,D59,IF('Machinery(Corn)'!$C$16='Machinery(Corn)'!$B$69,B59,C59))</f>
        <v>0</v>
      </c>
      <c r="F59" s="290" t="str">
        <f>IF('Machinery(Corn)'!C17='Machinery(Corn)'!B73,'Machinery(Corn)'!B50,'Machinery(Corn)'!E25)</f>
        <v>N</v>
      </c>
      <c r="G59" s="29"/>
      <c r="H59" s="6">
        <v>13.5</v>
      </c>
      <c r="I59" s="110">
        <f>H59+J59+K59</f>
        <v>15.017928872053872</v>
      </c>
      <c r="J59" s="111">
        <f>L59*(B$3-B$2)</f>
        <v>1.038375</v>
      </c>
      <c r="K59" s="111">
        <f>(B$4*(1-B$7)+B$6*(B$7) - B$14)*O59</f>
        <v>0.47955387205387195</v>
      </c>
      <c r="L59" s="10">
        <v>0.69225000000000003</v>
      </c>
      <c r="M59" s="67">
        <f t="shared" si="47"/>
        <v>2.78630625</v>
      </c>
      <c r="N59" s="11">
        <v>8.3400673400673392E-2</v>
      </c>
      <c r="O59" s="113">
        <f t="shared" si="48"/>
        <v>9.5910774410774391E-2</v>
      </c>
      <c r="P59" s="5">
        <f t="shared" si="49"/>
        <v>1.9182154882154878</v>
      </c>
      <c r="Q59" s="5">
        <f t="shared" si="50"/>
        <v>10.313407133838385</v>
      </c>
      <c r="R59" s="5">
        <f t="shared" si="51"/>
        <v>3.4034243541666673</v>
      </c>
      <c r="S59" s="5">
        <f t="shared" si="58"/>
        <v>6.9099827796717186</v>
      </c>
      <c r="T59" s="4"/>
      <c r="U59" s="5">
        <f t="shared" si="52"/>
        <v>0</v>
      </c>
      <c r="V59" s="5">
        <f t="shared" si="53"/>
        <v>0</v>
      </c>
      <c r="W59" s="5">
        <f t="shared" si="54"/>
        <v>0</v>
      </c>
      <c r="X59" s="5">
        <f t="shared" si="55"/>
        <v>0</v>
      </c>
      <c r="Y59" s="5">
        <f t="shared" si="56"/>
        <v>0</v>
      </c>
      <c r="Z59" s="5">
        <f t="shared" si="57"/>
        <v>0</v>
      </c>
    </row>
    <row r="60" spans="1:28" x14ac:dyDescent="0.2">
      <c r="A60" s="4" t="s">
        <v>40</v>
      </c>
      <c r="B60" s="4"/>
      <c r="C60" s="4"/>
      <c r="D60" s="32"/>
      <c r="E60" s="25"/>
      <c r="F60" s="290"/>
      <c r="G60" s="29"/>
      <c r="H60" s="6"/>
      <c r="I60" s="6">
        <f>IF(G60&gt;0,G60,H60-(L60*B$2*1.05)+M60-O60*12.5+P60)</f>
        <v>3.2955377704658604</v>
      </c>
      <c r="J60" s="6"/>
      <c r="K60" s="6"/>
      <c r="L60" s="10">
        <v>1.1118098422496572</v>
      </c>
      <c r="M60" s="67">
        <f t="shared" si="47"/>
        <v>4.4750346150548692</v>
      </c>
      <c r="N60" s="11">
        <v>0.13394826946495897</v>
      </c>
      <c r="O60" s="113">
        <f t="shared" si="48"/>
        <v>0.1540405098847028</v>
      </c>
      <c r="P60" s="5">
        <f t="shared" si="49"/>
        <v>3.0808101976940563</v>
      </c>
      <c r="Q60" s="5">
        <f t="shared" si="50"/>
        <v>-4.2603070422830651</v>
      </c>
      <c r="R60" s="5">
        <f t="shared" si="51"/>
        <v>-1.4059013239534115</v>
      </c>
      <c r="S60" s="5">
        <f t="shared" si="58"/>
        <v>-2.8544057183296534</v>
      </c>
      <c r="T60" s="4"/>
      <c r="U60" s="5">
        <f t="shared" si="52"/>
        <v>0</v>
      </c>
      <c r="V60" s="5">
        <f t="shared" si="53"/>
        <v>0</v>
      </c>
      <c r="W60" s="5">
        <f t="shared" si="54"/>
        <v>0</v>
      </c>
      <c r="X60" s="5">
        <f t="shared" si="55"/>
        <v>0</v>
      </c>
      <c r="Y60" s="5">
        <f t="shared" si="56"/>
        <v>0</v>
      </c>
      <c r="Z60" s="5">
        <f t="shared" si="57"/>
        <v>0</v>
      </c>
    </row>
    <row r="61" spans="1:28" x14ac:dyDescent="0.2">
      <c r="A61" s="4"/>
      <c r="B61" s="4"/>
      <c r="C61" s="4"/>
      <c r="D61" s="32"/>
      <c r="E61" s="25"/>
      <c r="F61" s="290"/>
      <c r="G61" s="29"/>
      <c r="H61" s="6"/>
      <c r="I61" s="6"/>
      <c r="J61" s="6"/>
      <c r="K61" s="6"/>
      <c r="L61" s="4"/>
      <c r="M61" s="4"/>
      <c r="N61" s="4"/>
      <c r="O61" s="4"/>
      <c r="P61" s="4"/>
      <c r="Q61" s="4"/>
      <c r="R61" s="4"/>
      <c r="S61" s="4"/>
      <c r="T61" s="4"/>
      <c r="U61" s="4"/>
      <c r="V61" s="4"/>
      <c r="W61" s="4"/>
      <c r="X61" s="4"/>
      <c r="Y61" s="4"/>
      <c r="Z61" s="4"/>
    </row>
    <row r="62" spans="1:28" x14ac:dyDescent="0.2">
      <c r="A62" s="9" t="s">
        <v>41</v>
      </c>
      <c r="B62" s="9"/>
      <c r="C62" s="9"/>
      <c r="D62" s="80"/>
      <c r="E62" s="25"/>
      <c r="F62" s="290"/>
      <c r="G62" s="29"/>
      <c r="H62" s="6"/>
      <c r="I62" s="6"/>
      <c r="J62" s="6"/>
      <c r="K62" s="6"/>
      <c r="L62" s="4"/>
      <c r="M62" s="4"/>
      <c r="N62" s="4"/>
      <c r="O62" s="4"/>
      <c r="P62" s="4"/>
      <c r="Q62" s="4"/>
      <c r="R62" s="4"/>
      <c r="S62" s="4"/>
      <c r="T62" s="4"/>
      <c r="U62" s="4"/>
      <c r="V62" s="4"/>
      <c r="W62" s="4"/>
      <c r="X62" s="4"/>
      <c r="Y62" s="4"/>
      <c r="Z62" s="4"/>
    </row>
    <row r="63" spans="1:28" x14ac:dyDescent="0.2">
      <c r="A63" s="4" t="s">
        <v>42</v>
      </c>
      <c r="B63" s="74">
        <v>2.5</v>
      </c>
      <c r="C63" s="74">
        <v>2.5</v>
      </c>
      <c r="D63" s="90">
        <f>'Machinery(Corn)'!D23</f>
        <v>2.5</v>
      </c>
      <c r="E63" s="69">
        <f>IF('Machinery(Corn)'!$C$17='Machinery(Corn)'!$B$72,D63,IF('Machinery(Corn)'!$C$16='Machinery(Corn)'!$B$69,B63,C63))</f>
        <v>2.5</v>
      </c>
      <c r="F63" s="290" t="str">
        <f>IF('Machinery(Corn)'!C17='Machinery(Corn)'!B73,'Machinery(Corn)'!B50,'Machinery(Corn)'!E23)</f>
        <v>N</v>
      </c>
      <c r="G63" s="29"/>
      <c r="H63" s="6">
        <v>7.5</v>
      </c>
      <c r="I63" s="110">
        <f>H63+J63+K63</f>
        <v>7.8498749999999999</v>
      </c>
      <c r="J63" s="111">
        <f>L63*(B$3-B$2)</f>
        <v>0.177375</v>
      </c>
      <c r="K63" s="111">
        <f>(B$4*(1-B$7)+B$6*(B$7) - B$14)*O63</f>
        <v>0.17249999999999999</v>
      </c>
      <c r="L63" s="10">
        <v>0.11825000000000001</v>
      </c>
      <c r="M63" s="67">
        <f t="shared" ref="M63:M64" si="59">L63*B$3*(1+B$13)</f>
        <v>0.47595625000000003</v>
      </c>
      <c r="N63" s="11">
        <v>0.03</v>
      </c>
      <c r="O63" s="113">
        <f t="shared" ref="O63:O64" si="60">N63*(1+B$16)</f>
        <v>3.4499999999999996E-2</v>
      </c>
      <c r="P63" s="5">
        <f>O63*B$4*(1-B$7)+O63*B$6*(B$7)</f>
        <v>0.69</v>
      </c>
      <c r="Q63" s="5">
        <f>I63-M63-P63</f>
        <v>6.6839187500000001</v>
      </c>
      <c r="R63" s="5">
        <f>Q63*B$12</f>
        <v>2.2056931875000001</v>
      </c>
      <c r="S63" s="5">
        <f>Q63-R63</f>
        <v>4.4782255625000005</v>
      </c>
      <c r="T63" s="4"/>
      <c r="U63" s="5">
        <f>IF(U$15="Increase",IF(F63="y",0,IF($E63&gt;0,M63*$E63*(1+U$16),0)),IF(F63="y",0,IF($E63&gt;0,M63*$E63*(1-U$16),0)))</f>
        <v>1.1898906250000001</v>
      </c>
      <c r="V63" s="5">
        <f>IF(V$15="Increase",IF(F63="y",0,IF($E63&gt;0,(O63*B$4*(1-B$7))*$E63*(1+V$16),0)),IF(F63="y",0,IF($E63&gt;0,(O63*B$4*(1-B$7))*$E63*(1-V$16),0)))</f>
        <v>1.7249999999999999</v>
      </c>
      <c r="W63" s="5">
        <f>IF(W$15="Increase",IF(F63="y",0,IF($E63&gt;0,(O63*B$6*(B$7))*$E63*(1+W$16),0)),IF(F63="y",0,IF($E63&gt;0,(O63*B$6*(B$7))*$E63*(1-W$16),0)))</f>
        <v>0</v>
      </c>
      <c r="X63" s="5">
        <f>IF(X$15="Increase",IF(F63="y",0,IF($E63&gt;0,R63*$E63*(1+X$16),0)),IF(F63="y",0,IF($E63&gt;0,R63*$E63*(1-X$16),0)))</f>
        <v>5.51423296875</v>
      </c>
      <c r="Y63" s="5">
        <f>IF(Y$15="Increase",IF(F63="y",0,IF($E63&gt;0,S63*$E63*(1+Y$16),0)),IF(F63="y",0,IF($E63&gt;0,S63*$E63*(1-Y$16),0)))</f>
        <v>11.195563906250001</v>
      </c>
      <c r="Z63" s="5">
        <f>IF(Z$15="Increase",IF(F63="y",I63*E63*(1+Z$16),0),IF(F63="y",I63*E63*(1-Z$16),0))</f>
        <v>0</v>
      </c>
    </row>
    <row r="64" spans="1:28" x14ac:dyDescent="0.2">
      <c r="A64" s="4" t="s">
        <v>43</v>
      </c>
      <c r="B64" s="4"/>
      <c r="C64" s="4"/>
      <c r="D64" s="4"/>
      <c r="E64" s="25"/>
      <c r="F64" s="290"/>
      <c r="G64" s="29"/>
      <c r="H64" s="6"/>
      <c r="I64" s="6">
        <f>IF(G64&gt;0,G64,H64-(L64*B$2*1.05)+M64-O64*12.5+P64)</f>
        <v>0.33952777777777776</v>
      </c>
      <c r="J64" s="6"/>
      <c r="K64" s="6"/>
      <c r="L64" s="10">
        <v>0.11</v>
      </c>
      <c r="M64" s="67">
        <f t="shared" si="59"/>
        <v>0.44274999999999998</v>
      </c>
      <c r="N64" s="11">
        <v>1.4814814814814815E-2</v>
      </c>
      <c r="O64" s="113">
        <f t="shared" si="60"/>
        <v>1.7037037037037038E-2</v>
      </c>
      <c r="P64" s="5">
        <f>O64*B$4*(1-B$7)+O64*B$6*(B$7)</f>
        <v>0.34074074074074079</v>
      </c>
      <c r="Q64" s="5">
        <f>I64-M64-P64</f>
        <v>-0.443962962962963</v>
      </c>
      <c r="R64" s="5">
        <f>Q64*B$12</f>
        <v>-0.14650777777777779</v>
      </c>
      <c r="S64" s="5">
        <f>Q64-R64</f>
        <v>-0.29745518518518521</v>
      </c>
      <c r="T64" s="4"/>
      <c r="U64" s="5">
        <f>IF(U$15="Increase",IF(F64="y",0,IF($E64&gt;0,M64*$E64*(1+U$16),0)),IF(F64="y",0,IF($E64&gt;0,M64*$E64*(1-U$16),0)))</f>
        <v>0</v>
      </c>
      <c r="V64" s="5">
        <f>IF(V$15="Increase",IF(F64="y",0,IF($E64&gt;0,(O64*B$4*(1-B$7))*$E64*(1+V$16),0)),IF(F64="y",0,IF($E64&gt;0,(O64*B$4*(1-B$7))*$E64*(1-V$16),0)))</f>
        <v>0</v>
      </c>
      <c r="W64" s="5">
        <f>IF(W$15="Increase",IF(F64="y",0,IF($E64&gt;0,(O64*B$6*(B$7))*$E64*(1+W$16),0)),IF(F64="y",0,IF($E64&gt;0,(O64*B$6*(B$7))*$E64*(1-W$16),0)))</f>
        <v>0</v>
      </c>
      <c r="X64" s="5">
        <f>IF(X$15="Increase",IF(F64="y",0,IF($E64&gt;0,R64*$E64*(1+X$16),0)),IF(F64="y",0,IF($E64&gt;0,R64*$E64*(1-X$16),0)))</f>
        <v>0</v>
      </c>
      <c r="Y64" s="5">
        <f>IF(Y$15="Increase",IF(F64="y",0,IF($E64&gt;0,S64*$E64*(1+Y$16),0)),IF(F64="y",0,IF($E64&gt;0,S64*$E64*(1-Y$16),0)))</f>
        <v>0</v>
      </c>
      <c r="Z64" s="5">
        <f>IF(Z$15="Increase",IF(F64="y",I64*E64*(1+Z$16),0),IF(F64="y",I64*E64*(1-Z$16),0))</f>
        <v>0</v>
      </c>
    </row>
    <row r="65" spans="1:28" x14ac:dyDescent="0.2">
      <c r="A65" s="4"/>
      <c r="B65" s="4"/>
      <c r="C65" s="4"/>
      <c r="D65" s="4"/>
      <c r="E65" s="25"/>
      <c r="F65" s="290"/>
      <c r="G65" s="29"/>
      <c r="H65" s="6"/>
      <c r="I65" s="6"/>
      <c r="J65" s="6"/>
      <c r="K65" s="6"/>
      <c r="L65" s="4"/>
      <c r="M65" s="4"/>
      <c r="N65" s="4"/>
      <c r="O65" s="4"/>
      <c r="P65" s="4"/>
      <c r="Q65" s="4"/>
      <c r="R65" s="4"/>
      <c r="S65" s="4"/>
      <c r="T65" s="4"/>
      <c r="U65" s="4"/>
      <c r="V65" s="4"/>
      <c r="W65" s="4"/>
      <c r="X65" s="4"/>
      <c r="Y65" s="4"/>
      <c r="Z65" s="4"/>
    </row>
    <row r="66" spans="1:28" x14ac:dyDescent="0.2">
      <c r="A66" s="9" t="s">
        <v>44</v>
      </c>
      <c r="B66" s="9"/>
      <c r="C66" s="9"/>
      <c r="D66" s="9"/>
      <c r="E66" s="25"/>
      <c r="F66" s="26"/>
      <c r="G66" s="29"/>
      <c r="H66" s="6"/>
      <c r="I66" s="6"/>
      <c r="J66" s="6"/>
      <c r="K66" s="6"/>
      <c r="L66" s="4"/>
      <c r="M66" s="4"/>
      <c r="N66" s="4"/>
      <c r="O66" s="4"/>
      <c r="P66" s="4"/>
      <c r="Q66" s="4"/>
      <c r="R66" s="4"/>
      <c r="S66" s="4"/>
      <c r="T66" s="4"/>
      <c r="U66" s="4"/>
      <c r="V66" s="4"/>
      <c r="W66" s="4"/>
      <c r="X66" s="4"/>
      <c r="Y66" s="4"/>
      <c r="Z66" s="4"/>
    </row>
    <row r="67" spans="1:28" x14ac:dyDescent="0.2">
      <c r="A67" s="4" t="s">
        <v>45</v>
      </c>
      <c r="B67" s="4"/>
      <c r="C67" s="4"/>
      <c r="D67" s="4"/>
      <c r="E67" s="25"/>
      <c r="F67" s="26"/>
      <c r="G67" s="29"/>
      <c r="H67" s="6"/>
      <c r="I67" s="6">
        <f>IF(G67&gt;0,G67,H67-(L67*B$2*1.05)+M67-O67*12.5+P67)</f>
        <v>0.8490847222222222</v>
      </c>
      <c r="J67" s="6"/>
      <c r="K67" s="6"/>
      <c r="L67" s="10">
        <v>0.26850000000000002</v>
      </c>
      <c r="M67" s="67">
        <f t="shared" ref="M67:M68" si="61">L67*B$3*(1+B$13)</f>
        <v>1.0807125</v>
      </c>
      <c r="N67" s="11">
        <v>3.8518518518518521E-2</v>
      </c>
      <c r="O67" s="113">
        <f t="shared" ref="O67:O68" si="62">N67*(1+B$16)</f>
        <v>4.4296296296296299E-2</v>
      </c>
      <c r="P67" s="5">
        <f>O67*B$4*(1-B$7)+O67*B$6*(B$7)</f>
        <v>0.88592592592592601</v>
      </c>
      <c r="Q67" s="5">
        <f>I67-M67-P67</f>
        <v>-1.1175537037037038</v>
      </c>
      <c r="R67" s="5">
        <f>Q67*B$12</f>
        <v>-0.36879272222222226</v>
      </c>
      <c r="S67" s="5">
        <f>Q67-R67</f>
        <v>-0.74876098148148151</v>
      </c>
      <c r="T67" s="4"/>
      <c r="U67" s="5">
        <f>IF(U$15="Increase",IF(F67="y",0,IF($E67&gt;0,M67*$E67*(1+U$16),0)),IF(F67="y",0,IF($E67&gt;0,M67*$E67*(1-U$16),0)))</f>
        <v>0</v>
      </c>
      <c r="V67" s="5">
        <f>IF(V$15="Increase",IF(F67="y",0,IF($E67&gt;0,(O67*B$4*(1-B$7))*$E67*(1+V$16),0)),IF(F67="y",0,IF($E67&gt;0,(O67*B$4*(1-B$7))*$E67*(1-V$16),0)))</f>
        <v>0</v>
      </c>
      <c r="W67" s="5">
        <f>IF(W$15="Increase",IF(F67="y",0,IF($E67&gt;0,(O67*B$6*(B$7))*$E67*(1+W$16),0)),IF(F67="y",0,IF($E67&gt;0,(O67*B$6*(B$7))*$E67*(1-W$16),0)))</f>
        <v>0</v>
      </c>
      <c r="X67" s="5">
        <f>IF(X$15="Increase",IF(F67="y",0,IF($E67&gt;0,R67*$E67*(1+X$16),0)),IF(F67="y",0,IF($E67&gt;0,R67*$E67*(1-X$16),0)))</f>
        <v>0</v>
      </c>
      <c r="Y67" s="5">
        <f>IF(Y$15="Increase",IF(F67="y",0,IF($E67&gt;0,S67*$E67*(1+Y$16),0)),IF(F67="y",0,IF($E67&gt;0,S67*$E67*(1-Y$16),0)))</f>
        <v>0</v>
      </c>
      <c r="Z67" s="5">
        <f>IF(Z$15="Increase",IF(F67="y",I67*E67*(1+Z$16),0),IF(F67="y",I67*E67*(1-Z$16),0))</f>
        <v>0</v>
      </c>
    </row>
    <row r="68" spans="1:28" x14ac:dyDescent="0.2">
      <c r="A68" s="4" t="s">
        <v>46</v>
      </c>
      <c r="B68" s="4"/>
      <c r="C68" s="4"/>
      <c r="D68" s="4"/>
      <c r="E68" s="25"/>
      <c r="F68" s="26"/>
      <c r="G68" s="29"/>
      <c r="H68" s="6"/>
      <c r="I68" s="6">
        <f>IF(G68&gt;0,G68,H68-(L68*B$2*1.05)+M68-O68*12.5+P68)</f>
        <v>1.7480729797979797</v>
      </c>
      <c r="J68" s="6"/>
      <c r="K68" s="6"/>
      <c r="L68" s="10">
        <v>0.52800000000000002</v>
      </c>
      <c r="M68" s="67">
        <f t="shared" si="61"/>
        <v>2.1252</v>
      </c>
      <c r="N68" s="11">
        <v>8.4831649831649841E-2</v>
      </c>
      <c r="O68" s="113">
        <f t="shared" si="62"/>
        <v>9.7556397306397313E-2</v>
      </c>
      <c r="P68" s="5">
        <f>O68*B$4*(1-B$7)+O68*B$6*(B$7)</f>
        <v>1.9511279461279463</v>
      </c>
      <c r="Q68" s="5">
        <f>I68-M68-P68</f>
        <v>-2.3282549663299665</v>
      </c>
      <c r="R68" s="5">
        <f>Q68*B$12</f>
        <v>-0.76832413888888895</v>
      </c>
      <c r="S68" s="5">
        <f>Q68-R68</f>
        <v>-1.5599308274410775</v>
      </c>
      <c r="T68" s="4"/>
      <c r="U68" s="5">
        <f>IF(U$15="Increase",IF(F68="y",0,IF($E68&gt;0,M68*$E68*(1+U$16),0)),IF(F68="y",0,IF($E68&gt;0,M68*$E68*(1-U$16),0)))</f>
        <v>0</v>
      </c>
      <c r="V68" s="5">
        <f>IF(V$15="Increase",IF(F68="y",0,IF($E68&gt;0,(O68*B$4*(1-B$7))*$E68*(1+V$16),0)),IF(F68="y",0,IF($E68&gt;0,(O68*B$4*(1-B$7))*$E68*(1-V$16),0)))</f>
        <v>0</v>
      </c>
      <c r="W68" s="5">
        <f>IF(W$15="Increase",IF(F68="y",0,IF($E68&gt;0,(O68*B$6*(B$7))*$E68*(1+W$16),0)),IF(F68="y",0,IF($E68&gt;0,(O68*B$6*(B$7))*$E68*(1-W$16),0)))</f>
        <v>0</v>
      </c>
      <c r="X68" s="5">
        <f>IF(X$15="Increase",IF(F68="y",0,IF($E68&gt;0,R68*$E68*(1+X$16),0)),IF(F68="y",0,IF($E68&gt;0,R68*$E68*(1-X$16),0)))</f>
        <v>0</v>
      </c>
      <c r="Y68" s="5">
        <f>IF(Y$15="Increase",IF(F68="y",0,IF($E68&gt;0,S68*$E68*(1+Y$16),0)),IF(F68="y",0,IF($E68&gt;0,S68*$E68*(1-Y$16),0)))</f>
        <v>0</v>
      </c>
      <c r="Z68" s="5">
        <f>IF(Z$15="Increase",IF(F68="y",I68*E68*(1+Z$16),0),IF(F68="y",I68*E68*(1-Z$16),0))</f>
        <v>0</v>
      </c>
    </row>
    <row r="69" spans="1:28" x14ac:dyDescent="0.2">
      <c r="A69" s="4"/>
      <c r="B69" s="4"/>
      <c r="C69" s="4"/>
      <c r="D69" s="4"/>
      <c r="E69" s="25"/>
      <c r="F69" s="26"/>
      <c r="G69" s="29"/>
      <c r="H69" s="6"/>
      <c r="I69" s="6"/>
      <c r="J69" s="6"/>
      <c r="K69" s="6"/>
      <c r="L69" s="10"/>
      <c r="M69" s="5"/>
      <c r="N69" s="11"/>
      <c r="O69" s="11"/>
      <c r="P69" s="5"/>
      <c r="Q69" s="5"/>
      <c r="R69" s="5"/>
      <c r="S69" s="5"/>
      <c r="T69" s="4"/>
      <c r="U69" s="5"/>
      <c r="V69" s="5"/>
      <c r="W69" s="5"/>
      <c r="X69" s="5"/>
      <c r="Y69" s="5"/>
      <c r="Z69" s="5"/>
    </row>
    <row r="70" spans="1:28" x14ac:dyDescent="0.2">
      <c r="A70" s="9" t="s">
        <v>279</v>
      </c>
      <c r="B70" s="9"/>
      <c r="C70" s="9"/>
      <c r="D70" s="9"/>
      <c r="E70" s="99"/>
      <c r="F70" s="98"/>
      <c r="G70" s="78"/>
      <c r="H70" s="6"/>
      <c r="I70" s="6"/>
      <c r="J70" s="6"/>
      <c r="K70" s="6"/>
      <c r="L70" s="10"/>
      <c r="M70" s="5"/>
      <c r="N70" s="11"/>
      <c r="O70" s="11"/>
      <c r="P70" s="5"/>
      <c r="Q70" s="5"/>
      <c r="R70" s="5"/>
      <c r="S70" s="5"/>
      <c r="T70" s="4"/>
      <c r="U70" s="5"/>
      <c r="V70" s="5"/>
      <c r="W70" s="5"/>
      <c r="X70" s="5"/>
      <c r="Y70" s="5"/>
      <c r="Z70" s="5"/>
    </row>
    <row r="71" spans="1:28" x14ac:dyDescent="0.2">
      <c r="A71" s="19" t="s">
        <v>278</v>
      </c>
      <c r="B71" s="19"/>
      <c r="C71" s="19"/>
      <c r="D71" s="19"/>
      <c r="E71" s="99"/>
      <c r="F71" s="98"/>
      <c r="G71" s="78"/>
      <c r="H71" s="6"/>
      <c r="I71" s="6"/>
      <c r="J71" s="6"/>
      <c r="K71" s="6"/>
      <c r="L71" s="10"/>
      <c r="M71" s="5"/>
      <c r="N71" s="11"/>
      <c r="O71" s="11"/>
      <c r="P71" s="5"/>
      <c r="Q71" s="5"/>
      <c r="R71" s="5"/>
      <c r="S71" s="5"/>
      <c r="T71" s="4"/>
      <c r="U71" s="5"/>
      <c r="V71" s="4">
        <f>B4*(1-B7)*B15</f>
        <v>15</v>
      </c>
      <c r="W71" s="5">
        <f>B6*B7*B15</f>
        <v>0</v>
      </c>
      <c r="X71" s="4"/>
      <c r="Y71" s="4"/>
      <c r="Z71" s="5"/>
      <c r="AB71" s="15"/>
    </row>
    <row r="72" spans="1:28" s="54" customFormat="1" x14ac:dyDescent="0.2">
      <c r="A72" s="66" t="s">
        <v>383</v>
      </c>
      <c r="B72" s="66"/>
      <c r="C72" s="66"/>
      <c r="D72" s="66"/>
      <c r="E72" s="144"/>
      <c r="F72" s="145"/>
      <c r="G72" s="146"/>
      <c r="H72" s="111"/>
      <c r="I72" s="111"/>
      <c r="J72" s="111"/>
      <c r="K72" s="111"/>
      <c r="L72" s="143"/>
      <c r="M72" s="67"/>
      <c r="N72" s="113"/>
      <c r="O72" s="113"/>
      <c r="P72" s="67"/>
      <c r="Q72" s="67"/>
      <c r="R72" s="67"/>
      <c r="S72" s="67"/>
      <c r="T72" s="65"/>
      <c r="U72" s="67">
        <f>'Machinery(Corn)'!C38*'Machinery(Corn)'!C5</f>
        <v>1.2249999999999999</v>
      </c>
      <c r="V72" s="65"/>
      <c r="W72" s="67"/>
      <c r="X72" s="65"/>
      <c r="Y72" s="65"/>
      <c r="Z72" s="67"/>
      <c r="AB72" s="58"/>
    </row>
    <row r="73" spans="1:28" x14ac:dyDescent="0.2">
      <c r="A73" s="4"/>
      <c r="B73" s="4"/>
      <c r="C73" s="4"/>
      <c r="D73" s="4"/>
      <c r="E73" s="25"/>
      <c r="F73" s="26"/>
      <c r="G73" s="29"/>
      <c r="H73" s="6"/>
      <c r="I73" s="6"/>
      <c r="J73" s="6"/>
      <c r="K73" s="6"/>
      <c r="L73" s="10"/>
      <c r="M73" s="5"/>
      <c r="N73" s="11"/>
      <c r="O73" s="11"/>
      <c r="P73" s="5"/>
      <c r="Q73" s="5"/>
      <c r="R73" s="5"/>
      <c r="S73" s="5"/>
      <c r="T73" s="4"/>
      <c r="U73" s="5"/>
      <c r="V73" s="5"/>
      <c r="W73" s="5"/>
      <c r="X73" s="5"/>
      <c r="Y73" s="5"/>
      <c r="Z73" s="5"/>
      <c r="AB73" s="15"/>
    </row>
    <row r="74" spans="1:28" x14ac:dyDescent="0.2">
      <c r="A74" s="12" t="s">
        <v>83</v>
      </c>
      <c r="B74" s="12"/>
      <c r="C74" s="12"/>
      <c r="D74" s="12"/>
      <c r="E74" s="23"/>
      <c r="F74" s="24"/>
      <c r="G74" s="30"/>
      <c r="H74" s="4"/>
      <c r="I74" s="4"/>
      <c r="J74" s="4"/>
      <c r="K74" s="4"/>
      <c r="L74" s="4"/>
      <c r="M74" s="4"/>
      <c r="N74" s="4"/>
      <c r="O74" s="4"/>
      <c r="P74" s="4"/>
      <c r="Q74" s="4"/>
      <c r="R74" s="4"/>
      <c r="S74" s="4"/>
      <c r="T74" s="4"/>
      <c r="U74" s="14">
        <f t="shared" ref="U74:Z74" si="63">SUM(U20:U73)</f>
        <v>28.018456782903762</v>
      </c>
      <c r="V74" s="14">
        <f t="shared" si="63"/>
        <v>38.323464706669284</v>
      </c>
      <c r="W74" s="14">
        <f t="shared" si="63"/>
        <v>0</v>
      </c>
      <c r="X74" s="14">
        <f t="shared" si="63"/>
        <v>30.683099800085877</v>
      </c>
      <c r="Y74" s="14">
        <f t="shared" si="63"/>
        <v>62.295990503204649</v>
      </c>
      <c r="Z74" s="14">
        <f t="shared" si="63"/>
        <v>0</v>
      </c>
    </row>
    <row r="75" spans="1:28" s="8" customFormat="1" x14ac:dyDescent="0.2">
      <c r="A75" s="12" t="s">
        <v>129</v>
      </c>
      <c r="B75" s="12"/>
      <c r="C75" s="12"/>
      <c r="D75" s="12"/>
      <c r="E75" s="23"/>
      <c r="F75" s="24"/>
      <c r="G75" s="30"/>
      <c r="H75" s="12"/>
      <c r="I75" s="12"/>
      <c r="J75" s="12"/>
      <c r="K75" s="12"/>
      <c r="L75" s="12"/>
      <c r="M75" s="12"/>
      <c r="N75" s="12"/>
      <c r="O75" s="12"/>
      <c r="P75" s="12"/>
      <c r="Q75" s="12"/>
      <c r="R75" s="12"/>
      <c r="S75" s="12"/>
      <c r="T75" s="12"/>
      <c r="U75" s="14">
        <f>U74 - (U74/$Z76)*Corn!$J25</f>
        <v>28.018456782903762</v>
      </c>
      <c r="V75" s="14">
        <f>V74 - (V74/$Z76)*Corn!$J25</f>
        <v>38.323464706669284</v>
      </c>
      <c r="W75" s="14">
        <f>W74 - (W74/$Z76)*Corn!$J25</f>
        <v>0</v>
      </c>
      <c r="X75" s="14">
        <f>X74 - (X74/$Z76)*Corn!$J25</f>
        <v>30.683099800085877</v>
      </c>
      <c r="Y75" s="14">
        <f>Y74 - (Y74/$Z76)*Corn!$J25</f>
        <v>62.295990503204649</v>
      </c>
      <c r="Z75" s="14">
        <f>Corn!J25</f>
        <v>0</v>
      </c>
    </row>
    <row r="76" spans="1:28" x14ac:dyDescent="0.2">
      <c r="Z76" s="7">
        <f>SUM(U74:Z74)</f>
        <v>159.32101179286357</v>
      </c>
    </row>
    <row r="77" spans="1:28" x14ac:dyDescent="0.2">
      <c r="V77" s="2"/>
      <c r="Z77" s="7">
        <f>SUM(U75:Z75)</f>
        <v>159.32101179286357</v>
      </c>
    </row>
    <row r="78" spans="1:28" x14ac:dyDescent="0.2">
      <c r="N78" s="70"/>
      <c r="O78" s="70"/>
      <c r="U78" s="71"/>
      <c r="V78" s="2"/>
      <c r="W78" s="2"/>
      <c r="X78" s="2"/>
      <c r="Y78" s="2"/>
      <c r="Z78" s="71"/>
    </row>
    <row r="79" spans="1:28" x14ac:dyDescent="0.2">
      <c r="T79" s="15"/>
      <c r="U79" s="71"/>
      <c r="V79" s="71"/>
      <c r="W79" s="71"/>
      <c r="X79" s="71"/>
      <c r="Y79" s="71"/>
      <c r="Z79" s="71"/>
    </row>
    <row r="81" spans="1:27" x14ac:dyDescent="0.2">
      <c r="A81" s="421" t="s">
        <v>102</v>
      </c>
      <c r="B81" s="422"/>
      <c r="C81" s="422"/>
      <c r="D81" s="422"/>
      <c r="E81" s="416"/>
      <c r="F81" s="54"/>
      <c r="G81" s="54"/>
      <c r="I81" s="67">
        <f>IF(G51&gt;0,G51,Trucking!H25*Corn!E6)</f>
        <v>35.937242648901467</v>
      </c>
      <c r="J81" s="67"/>
      <c r="K81" s="67"/>
      <c r="L81" s="67">
        <f>((Corn!E6*Trucking!B25*2)*(1+Trucking!C4))/(Trucking!C3*Trucking!C2)</f>
        <v>2.1921052631578948</v>
      </c>
      <c r="M81" s="67">
        <f>L51*Trucking!C9</f>
        <v>8.373842105263158</v>
      </c>
      <c r="N81" s="65"/>
      <c r="O81" s="65">
        <f>Corn!E6*((((B8*2)/Trucking!C7) + (Trucking!C5/60)))/Trucking!C2</f>
        <v>0.45730994152046778</v>
      </c>
      <c r="P81" s="67">
        <f>O51*B$4*(1-B$7)+O51*B$6*(B$7)</f>
        <v>9.1461988304093556</v>
      </c>
      <c r="Q81" s="67">
        <f>I81-M81-P81</f>
        <v>18.417201713228955</v>
      </c>
      <c r="R81" s="67">
        <f>Q81*B$12</f>
        <v>6.0776765653655556</v>
      </c>
      <c r="S81" s="67">
        <f>Q81-R81</f>
        <v>12.3395251478634</v>
      </c>
      <c r="T81" s="65"/>
      <c r="U81" s="67">
        <f>IF(U$15="Increase",IF(F51="y",0,IF($B8&gt;0,M51*(1+U$16),0)),IF(F51="y",0,IF($B8&gt;0,M51*(1-U$16),0)))</f>
        <v>8.373842105263158</v>
      </c>
      <c r="V81" s="67">
        <f>IF(V$15="Increase",IF(F51="y",0,IF($B8&gt;0,(O51*B$4*(1-B$7)*(1+V$16)),0)),IF(F51="y",0,IF($B8&gt;0,(O51*B$4*(1-B$7)*(1-V$16)),0)))</f>
        <v>9.1461988304093556</v>
      </c>
      <c r="W81" s="67">
        <f>IF(W$15="Increase",IF(F51="y",0,IF($B8&gt;0,(O51*B$6*(B$7)*(1+W$16)),0)),IF(F51="y",0,IF($B8&gt;0,(O51*B$6*(B$7)*(1-W$16)),0)))</f>
        <v>0</v>
      </c>
      <c r="X81" s="67">
        <f>IF(X$15="Increase",IF(F51="y",0,IF($B8&gt;0,R51*(1+X$16),0)),IF(F51="y",0,IF($B8&gt;0,R51*(1-X$16),0)))</f>
        <v>6.0776765653655556</v>
      </c>
      <c r="Y81" s="67">
        <f>IF(Y$15="Increase",IF(F51="y",0,IF($B8&gt;0,S51*(1+Y$16),0)),IF(F51="y",0,IF($B8&gt;0,S51*(1-Y$16),0)))</f>
        <v>12.3395251478634</v>
      </c>
      <c r="Z81" s="67">
        <f>IF(Z$15="Increase",IF(F51="y",I51*(1+Z$16),0),IF(F51="y",I51*(1-Z$16),0))</f>
        <v>0</v>
      </c>
      <c r="AA81" s="2">
        <f>SUM(U81:Z81)</f>
        <v>35.937242648901467</v>
      </c>
    </row>
    <row r="85" spans="1:27" x14ac:dyDescent="0.2">
      <c r="I85" s="73"/>
      <c r="J85" s="73"/>
      <c r="K85" s="73"/>
    </row>
    <row r="86" spans="1:27" x14ac:dyDescent="0.2">
      <c r="I86" s="15"/>
      <c r="J86" s="15"/>
      <c r="K86" s="15"/>
    </row>
    <row r="87" spans="1:27" x14ac:dyDescent="0.2">
      <c r="I87" s="15"/>
      <c r="J87" s="15"/>
      <c r="K87" s="15"/>
    </row>
    <row r="102" spans="8:8" x14ac:dyDescent="0.2">
      <c r="H102" t="str">
        <f>'Machinery(Corn)'!B49</f>
        <v>Y</v>
      </c>
    </row>
    <row r="103" spans="8:8" x14ac:dyDescent="0.2">
      <c r="H103" t="str">
        <f>'Machinery(Corn)'!B50</f>
        <v>N</v>
      </c>
    </row>
    <row r="164" spans="1:8" x14ac:dyDescent="0.2">
      <c r="A164" s="4"/>
      <c r="B164" s="4"/>
      <c r="C164" s="4"/>
      <c r="D164" s="4"/>
      <c r="E164" s="420" t="s">
        <v>220</v>
      </c>
      <c r="F164" s="420"/>
      <c r="G164" s="420"/>
      <c r="H164" s="420"/>
    </row>
    <row r="165" spans="1:8" ht="25.5" x14ac:dyDescent="0.2">
      <c r="A165" s="4"/>
      <c r="B165" s="4"/>
      <c r="C165" s="4"/>
      <c r="D165" s="4"/>
      <c r="E165" s="68" t="s">
        <v>217</v>
      </c>
      <c r="F165" s="68" t="s">
        <v>218</v>
      </c>
      <c r="G165" s="68" t="s">
        <v>217</v>
      </c>
      <c r="H165" s="68" t="s">
        <v>218</v>
      </c>
    </row>
    <row r="166" spans="1:8" x14ac:dyDescent="0.2">
      <c r="A166" s="19" t="s">
        <v>264</v>
      </c>
      <c r="B166" s="19"/>
      <c r="C166" s="19"/>
      <c r="D166" s="19"/>
      <c r="E166" s="74">
        <v>0</v>
      </c>
      <c r="F166" s="74">
        <v>0.5</v>
      </c>
      <c r="G166" s="77">
        <v>0</v>
      </c>
      <c r="H166" s="90">
        <f>IF('Machinery(Corn)'!$C$17='Machinery(Corn)'!$B$73,F166,'Machinery(Corn)'!#REF!)</f>
        <v>0.5</v>
      </c>
    </row>
    <row r="167" spans="1:8" x14ac:dyDescent="0.2">
      <c r="A167" s="19" t="s">
        <v>14</v>
      </c>
      <c r="B167" s="19"/>
      <c r="C167" s="19"/>
      <c r="D167" s="19"/>
      <c r="E167" s="74">
        <v>0</v>
      </c>
      <c r="F167" s="74">
        <v>1</v>
      </c>
      <c r="G167" s="77">
        <v>0</v>
      </c>
      <c r="H167" s="90">
        <f>IF('Machinery(Corn)'!$C$17='Machinery(Corn)'!$B$73,F167,'Machinery(Corn)'!#REF!)</f>
        <v>1</v>
      </c>
    </row>
    <row r="168" spans="1:8" x14ac:dyDescent="0.2">
      <c r="A168" s="19" t="s">
        <v>16</v>
      </c>
      <c r="B168" s="19"/>
      <c r="C168" s="19"/>
      <c r="D168" s="19"/>
      <c r="E168" s="74">
        <v>0</v>
      </c>
      <c r="F168" s="74">
        <v>1</v>
      </c>
      <c r="G168" s="77">
        <v>0</v>
      </c>
      <c r="H168" s="90">
        <f>IF('Machinery(Corn)'!$C$17='Machinery(Corn)'!$B$73,F168,'Machinery(Corn)'!D28)</f>
        <v>1</v>
      </c>
    </row>
    <row r="169" spans="1:8" x14ac:dyDescent="0.2">
      <c r="A169" s="19" t="s">
        <v>265</v>
      </c>
      <c r="B169" s="19"/>
      <c r="C169" s="19"/>
      <c r="D169" s="19"/>
      <c r="E169" s="74">
        <v>0</v>
      </c>
      <c r="F169" s="74">
        <v>1</v>
      </c>
      <c r="G169" s="77">
        <v>0</v>
      </c>
      <c r="H169" s="90">
        <f>IF('Machinery(Corn)'!$C$17='Machinery(Corn)'!$B$73,F169,'Machinery(Corn)'!D22)</f>
        <v>1</v>
      </c>
    </row>
    <row r="170" spans="1:8" x14ac:dyDescent="0.2">
      <c r="A170" s="19" t="s">
        <v>266</v>
      </c>
      <c r="B170" s="19"/>
      <c r="C170" s="19"/>
      <c r="D170" s="19"/>
      <c r="E170" s="74">
        <v>1</v>
      </c>
      <c r="F170" s="74">
        <v>0</v>
      </c>
      <c r="G170" s="69">
        <f>IF('Machinery(Corn)'!$C$17='Machinery(Corn)'!$B$73,E170,'Machinery(Corn)'!#REF!)</f>
        <v>1</v>
      </c>
      <c r="H170" s="90">
        <v>0</v>
      </c>
    </row>
    <row r="171" spans="1:8" x14ac:dyDescent="0.2">
      <c r="A171" s="19" t="s">
        <v>267</v>
      </c>
      <c r="B171" s="19"/>
      <c r="C171" s="19"/>
      <c r="D171" s="19"/>
      <c r="E171" s="74">
        <v>1</v>
      </c>
      <c r="F171" s="74">
        <v>1</v>
      </c>
      <c r="G171" s="69">
        <f>IF('Machinery(Corn)'!$C$17='Machinery(Corn)'!$B$73,E171,'Machinery(Corn)'!D26)</f>
        <v>1</v>
      </c>
      <c r="H171" s="90">
        <f>IF('Machinery(Corn)'!$C$17='Machinery(Corn)'!$B$73,F171,'Machinery(Corn)'!D26)</f>
        <v>1</v>
      </c>
    </row>
    <row r="172" spans="1:8" x14ac:dyDescent="0.2">
      <c r="A172" s="19" t="s">
        <v>47</v>
      </c>
      <c r="B172" s="19"/>
      <c r="C172" s="19"/>
      <c r="D172" s="19"/>
      <c r="E172" s="74">
        <v>1</v>
      </c>
      <c r="F172" s="74">
        <v>1</v>
      </c>
      <c r="G172" s="69">
        <f>IF('Machinery(Corn)'!$C$17='Machinery(Corn)'!$B$73,E172,'Machinery(Corn)'!D27)</f>
        <v>1</v>
      </c>
      <c r="H172" s="90">
        <f>IF('Machinery(Corn)'!$C$17='Machinery(Corn)'!$B$73,F172,'Machinery(Corn)'!D27)</f>
        <v>1</v>
      </c>
    </row>
    <row r="173" spans="1:8" x14ac:dyDescent="0.2">
      <c r="A173" s="19" t="s">
        <v>268</v>
      </c>
      <c r="B173" s="19"/>
      <c r="C173" s="19"/>
      <c r="D173" s="19"/>
      <c r="E173" s="74">
        <v>2</v>
      </c>
      <c r="F173" s="74">
        <v>2</v>
      </c>
      <c r="G173" s="69">
        <f>IF('Machinery(Corn)'!$C$17='Machinery(Corn)'!$B$73,E173,'Machinery(Corn)'!D24)</f>
        <v>2</v>
      </c>
      <c r="H173" s="90">
        <f>IF('Machinery(Corn)'!$C$17='Machinery(Corn)'!$B$73,F173,'Machinery(Corn)'!D24)</f>
        <v>2</v>
      </c>
    </row>
    <row r="174" spans="1:8" x14ac:dyDescent="0.2">
      <c r="A174" s="19" t="s">
        <v>139</v>
      </c>
      <c r="B174" s="19"/>
      <c r="C174" s="19"/>
      <c r="D174" s="19"/>
      <c r="E174" s="74">
        <v>0</v>
      </c>
      <c r="F174" s="74">
        <v>0</v>
      </c>
      <c r="G174" s="69">
        <f>IF('Machinery(Corn)'!$C$17='Machinery(Corn)'!$B$73,E174,'Machinery(Corn)'!D25)</f>
        <v>0</v>
      </c>
      <c r="H174" s="90">
        <f>IF('Machinery(Corn)'!$C$17='Machinery(Corn)'!$B$73,F174,'Machinery(Corn)'!D25)</f>
        <v>0</v>
      </c>
    </row>
    <row r="175" spans="1:8" x14ac:dyDescent="0.2">
      <c r="A175" s="19" t="s">
        <v>269</v>
      </c>
      <c r="B175" s="19"/>
      <c r="C175" s="19"/>
      <c r="D175" s="19"/>
      <c r="E175" s="74">
        <v>2</v>
      </c>
      <c r="F175" s="74">
        <v>2</v>
      </c>
      <c r="G175" s="69">
        <f>IF('Machinery(Corn)'!$C$17='Machinery(Corn)'!$B$73,E175,'Machinery(Corn)'!D23)</f>
        <v>2</v>
      </c>
      <c r="H175" s="90">
        <f>IF('Machinery(Corn)'!$C$17='Machinery(Corn)'!$B$73,F175,'Machinery(Corn)'!D23)</f>
        <v>2</v>
      </c>
    </row>
    <row r="176" spans="1:8" x14ac:dyDescent="0.2">
      <c r="A176" s="66" t="s">
        <v>270</v>
      </c>
      <c r="B176" s="66"/>
      <c r="C176" s="66"/>
      <c r="D176" s="66"/>
      <c r="E176" s="75">
        <v>1</v>
      </c>
      <c r="F176" s="75">
        <v>1</v>
      </c>
      <c r="G176" s="69">
        <f>IF('Machinery(Corn)'!$C$17='Machinery(Corn)'!$B$73,E176,'Machinery(Corn)'!D40)</f>
        <v>1</v>
      </c>
      <c r="H176" s="90">
        <f>IF('Machinery(Corn)'!$C$17='Machinery(Corn)'!$B$73,F176,'Machinery(Corn)'!D40)</f>
        <v>1</v>
      </c>
    </row>
    <row r="178" spans="1:4" x14ac:dyDescent="0.2">
      <c r="A178" s="15" t="s">
        <v>271</v>
      </c>
      <c r="B178" s="15"/>
      <c r="C178" s="15"/>
      <c r="D178" s="15"/>
    </row>
    <row r="179" spans="1:4" x14ac:dyDescent="0.2">
      <c r="A179" s="15" t="s">
        <v>274</v>
      </c>
      <c r="B179" s="15"/>
      <c r="C179" s="15"/>
      <c r="D179" s="15"/>
    </row>
    <row r="180" spans="1:4" x14ac:dyDescent="0.2">
      <c r="A180" s="15" t="s">
        <v>272</v>
      </c>
      <c r="B180" s="15"/>
      <c r="C180" s="15"/>
      <c r="D180" s="15"/>
    </row>
    <row r="181" spans="1:4" x14ac:dyDescent="0.2">
      <c r="A181" s="15" t="s">
        <v>273</v>
      </c>
      <c r="B181" s="15"/>
      <c r="C181" s="15"/>
      <c r="D181" s="15"/>
    </row>
  </sheetData>
  <mergeCells count="20">
    <mergeCell ref="A1:Z1"/>
    <mergeCell ref="H11:Z11"/>
    <mergeCell ref="A10:G10"/>
    <mergeCell ref="A11:G11"/>
    <mergeCell ref="H9:Z9"/>
    <mergeCell ref="H10:Z10"/>
    <mergeCell ref="D2:Z2"/>
    <mergeCell ref="D3:Z3"/>
    <mergeCell ref="D4:Z4"/>
    <mergeCell ref="D5:Z5"/>
    <mergeCell ref="D6:Z6"/>
    <mergeCell ref="D7:Z7"/>
    <mergeCell ref="D8:Z8"/>
    <mergeCell ref="A9:G9"/>
    <mergeCell ref="H14:T16"/>
    <mergeCell ref="A51:E51"/>
    <mergeCell ref="H12:Z12"/>
    <mergeCell ref="U14:Z14"/>
    <mergeCell ref="E164:H164"/>
    <mergeCell ref="A81:E81"/>
  </mergeCells>
  <phoneticPr fontId="0"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73"/>
  <sheetViews>
    <sheetView showGridLines="0" zoomScaleNormal="100" workbookViewId="0">
      <selection activeCell="B2" sqref="B2:L2"/>
    </sheetView>
  </sheetViews>
  <sheetFormatPr defaultColWidth="9.140625" defaultRowHeight="12.75" x14ac:dyDescent="0.2"/>
  <cols>
    <col min="1" max="1" width="3.7109375" style="15" customWidth="1"/>
    <col min="2" max="2" width="37.5703125" style="15" customWidth="1"/>
    <col min="3" max="5" width="8.28515625" style="15" customWidth="1"/>
    <col min="6" max="6" width="3.7109375" style="15" customWidth="1"/>
    <col min="7" max="8" width="14.7109375" style="15" customWidth="1"/>
    <col min="9" max="9" width="18" style="15" customWidth="1"/>
    <col min="10" max="11" width="14.7109375" style="15" customWidth="1"/>
    <col min="12" max="12" width="11.28515625" style="15" customWidth="1"/>
    <col min="13" max="13" width="3.7109375" style="15" customWidth="1"/>
    <col min="14" max="14" width="23.42578125" style="15" customWidth="1"/>
    <col min="15" max="16" width="8.7109375" style="15" customWidth="1"/>
    <col min="17" max="17" width="5.7109375" style="15" customWidth="1"/>
    <col min="18" max="21" width="14.7109375" style="15" customWidth="1"/>
    <col min="22" max="22" width="12.7109375" style="15" customWidth="1"/>
    <col min="23" max="16384" width="9.140625" style="15"/>
  </cols>
  <sheetData>
    <row r="2" spans="2:14" ht="15.75" x14ac:dyDescent="0.25">
      <c r="B2" s="461" t="s">
        <v>393</v>
      </c>
      <c r="C2" s="461"/>
      <c r="D2" s="461"/>
      <c r="E2" s="461"/>
      <c r="F2" s="461"/>
      <c r="G2" s="461"/>
      <c r="H2" s="461"/>
      <c r="I2" s="461"/>
      <c r="J2" s="461"/>
      <c r="K2" s="461"/>
      <c r="L2" s="461"/>
      <c r="M2" s="201"/>
      <c r="N2" s="201"/>
    </row>
    <row r="3" spans="2:14" ht="5.0999999999999996" customHeight="1" x14ac:dyDescent="0.25">
      <c r="B3" s="445"/>
      <c r="C3" s="445"/>
      <c r="D3" s="445"/>
      <c r="E3" s="445"/>
      <c r="F3" s="445"/>
      <c r="G3" s="445"/>
      <c r="H3" s="445"/>
      <c r="I3" s="445"/>
      <c r="J3" s="445"/>
      <c r="K3" s="445"/>
      <c r="L3" s="445"/>
      <c r="M3" s="201"/>
      <c r="N3" s="201"/>
    </row>
    <row r="4" spans="2:14" ht="12.95" customHeight="1" x14ac:dyDescent="0.2">
      <c r="B4" s="19"/>
      <c r="C4" s="420"/>
      <c r="D4" s="420"/>
      <c r="E4" s="428" t="s">
        <v>126</v>
      </c>
      <c r="F4" s="428"/>
      <c r="G4" s="428"/>
      <c r="H4" s="428"/>
      <c r="I4" s="428"/>
      <c r="J4" s="428"/>
      <c r="K4" s="428"/>
      <c r="L4" s="428"/>
    </row>
    <row r="5" spans="2:14" ht="12.95" customHeight="1" x14ac:dyDescent="0.2">
      <c r="B5" s="19" t="s">
        <v>151</v>
      </c>
      <c r="C5" s="454">
        <v>3.5</v>
      </c>
      <c r="D5" s="454"/>
      <c r="E5" s="429" t="s">
        <v>308</v>
      </c>
      <c r="F5" s="429"/>
      <c r="G5" s="429"/>
      <c r="H5" s="429"/>
      <c r="I5" s="429"/>
      <c r="J5" s="429"/>
      <c r="K5" s="429"/>
      <c r="L5" s="429"/>
    </row>
    <row r="6" spans="2:14" ht="12.95" customHeight="1" thickBot="1" x14ac:dyDescent="0.25">
      <c r="B6" s="19" t="s">
        <v>152</v>
      </c>
      <c r="C6" s="471">
        <v>20</v>
      </c>
      <c r="D6" s="471"/>
      <c r="E6" s="429" t="s">
        <v>100</v>
      </c>
      <c r="F6" s="429"/>
      <c r="G6" s="429"/>
      <c r="H6" s="429"/>
      <c r="I6" s="429"/>
      <c r="J6" s="429"/>
      <c r="K6" s="429"/>
      <c r="L6" s="429"/>
    </row>
    <row r="7" spans="2:14" ht="12.95" customHeight="1" thickBot="1" x14ac:dyDescent="0.25">
      <c r="B7" s="202" t="s">
        <v>124</v>
      </c>
      <c r="C7" s="470" t="s">
        <v>51</v>
      </c>
      <c r="D7" s="470"/>
      <c r="E7" s="431" t="s">
        <v>245</v>
      </c>
      <c r="F7" s="429"/>
      <c r="G7" s="429"/>
      <c r="H7" s="429"/>
      <c r="I7" s="429"/>
      <c r="J7" s="429"/>
      <c r="K7" s="429"/>
      <c r="L7" s="429"/>
    </row>
    <row r="8" spans="2:14" ht="12.95" customHeight="1" x14ac:dyDescent="0.2">
      <c r="B8" s="19" t="s">
        <v>153</v>
      </c>
      <c r="C8" s="469">
        <v>15</v>
      </c>
      <c r="D8" s="469"/>
      <c r="E8" s="429" t="s">
        <v>99</v>
      </c>
      <c r="F8" s="429"/>
      <c r="G8" s="429"/>
      <c r="H8" s="429"/>
      <c r="I8" s="429"/>
      <c r="J8" s="429"/>
      <c r="K8" s="429"/>
      <c r="L8" s="429"/>
    </row>
    <row r="9" spans="2:14" ht="12.95" customHeight="1" thickBot="1" x14ac:dyDescent="0.25">
      <c r="B9" s="19" t="s">
        <v>70</v>
      </c>
      <c r="C9" s="468">
        <v>0</v>
      </c>
      <c r="D9" s="468"/>
      <c r="E9" s="429" t="s">
        <v>107</v>
      </c>
      <c r="F9" s="429"/>
      <c r="G9" s="429"/>
      <c r="H9" s="429"/>
      <c r="I9" s="429"/>
      <c r="J9" s="429"/>
      <c r="K9" s="429"/>
      <c r="L9" s="429"/>
    </row>
    <row r="10" spans="2:14" ht="12.95" customHeight="1" thickBot="1" x14ac:dyDescent="0.25">
      <c r="B10" s="203" t="s">
        <v>404</v>
      </c>
      <c r="C10" s="449" t="s">
        <v>348</v>
      </c>
      <c r="D10" s="449"/>
      <c r="E10" s="447" t="s">
        <v>407</v>
      </c>
      <c r="F10" s="448"/>
      <c r="G10" s="448"/>
      <c r="H10" s="448"/>
      <c r="I10" s="448"/>
      <c r="J10" s="448"/>
      <c r="K10" s="448"/>
      <c r="L10" s="448"/>
    </row>
    <row r="11" spans="2:14" ht="12.95" customHeight="1" x14ac:dyDescent="0.2">
      <c r="B11" s="19" t="s">
        <v>406</v>
      </c>
      <c r="C11" s="204">
        <v>0.75</v>
      </c>
      <c r="D11" s="237">
        <v>0.75</v>
      </c>
      <c r="E11" s="429" t="s">
        <v>328</v>
      </c>
      <c r="F11" s="429"/>
      <c r="G11" s="429"/>
      <c r="H11" s="429"/>
      <c r="I11" s="429"/>
      <c r="J11" s="429"/>
      <c r="K11" s="429"/>
      <c r="L11" s="429"/>
    </row>
    <row r="12" spans="2:14" ht="12.95" customHeight="1" x14ac:dyDescent="0.2">
      <c r="B12" s="19" t="s">
        <v>405</v>
      </c>
      <c r="C12" s="3">
        <v>0.35</v>
      </c>
      <c r="D12" s="238">
        <v>0.35</v>
      </c>
      <c r="E12" s="460" t="s">
        <v>382</v>
      </c>
      <c r="F12" s="430"/>
      <c r="G12" s="430"/>
      <c r="H12" s="430"/>
      <c r="I12" s="430"/>
      <c r="J12" s="430"/>
      <c r="K12" s="430"/>
      <c r="L12" s="431"/>
    </row>
    <row r="13" spans="2:14" x14ac:dyDescent="0.2">
      <c r="G13" s="472"/>
      <c r="H13" s="472"/>
      <c r="I13" s="472"/>
      <c r="J13" s="472"/>
      <c r="K13" s="472"/>
      <c r="L13" s="472"/>
      <c r="M13" s="472"/>
    </row>
    <row r="14" spans="2:14" ht="15.75" x14ac:dyDescent="0.25">
      <c r="B14" s="461" t="str">
        <f>IF(Corn!I21=Corn!D60,"Machinery Operations - Corn","Machinery Calculations is not currently visible because user has selected N for Calculate Machinery Costs. This can be changed on the Corn sheet.")</f>
        <v>Machinery Operations - Corn</v>
      </c>
      <c r="C14" s="461"/>
      <c r="D14" s="461"/>
      <c r="E14" s="461"/>
      <c r="F14" s="461"/>
      <c r="G14" s="461"/>
      <c r="H14" s="461"/>
      <c r="I14" s="461"/>
      <c r="J14" s="461"/>
      <c r="K14" s="461"/>
      <c r="L14" s="461"/>
    </row>
    <row r="15" spans="2:14" ht="5.0999999999999996" customHeight="1" thickBot="1" x14ac:dyDescent="0.3">
      <c r="B15" s="445"/>
      <c r="C15" s="446"/>
      <c r="D15" s="446"/>
      <c r="E15" s="446"/>
      <c r="F15" s="445"/>
      <c r="G15" s="445"/>
      <c r="H15" s="445"/>
      <c r="I15" s="445"/>
      <c r="J15" s="445"/>
      <c r="K15" s="445"/>
      <c r="L15" s="445"/>
    </row>
    <row r="16" spans="2:14" ht="12.95" customHeight="1" thickBot="1" x14ac:dyDescent="0.25">
      <c r="B16" s="205" t="s">
        <v>334</v>
      </c>
      <c r="C16" s="463" t="s">
        <v>217</v>
      </c>
      <c r="D16" s="463"/>
      <c r="E16" s="463"/>
      <c r="F16" s="206"/>
      <c r="G16" s="464" t="s">
        <v>367</v>
      </c>
      <c r="H16" s="464"/>
      <c r="I16" s="464"/>
      <c r="J16" s="464"/>
      <c r="K16" s="464"/>
      <c r="L16" s="464"/>
    </row>
    <row r="17" spans="1:14" ht="12.95" customHeight="1" thickBot="1" x14ac:dyDescent="0.25">
      <c r="A17" s="207"/>
      <c r="B17" s="208" t="s">
        <v>223</v>
      </c>
      <c r="C17" s="462" t="s">
        <v>348</v>
      </c>
      <c r="D17" s="462"/>
      <c r="E17" s="462"/>
      <c r="F17" s="209"/>
      <c r="G17" s="465" t="s">
        <v>366</v>
      </c>
      <c r="H17" s="466"/>
      <c r="I17" s="466"/>
      <c r="J17" s="466"/>
      <c r="K17" s="466"/>
      <c r="L17" s="467"/>
      <c r="M17" s="210"/>
    </row>
    <row r="18" spans="1:14" ht="5.0999999999999996" customHeight="1" thickBot="1" x14ac:dyDescent="0.25">
      <c r="A18" s="207"/>
      <c r="B18" s="456"/>
      <c r="C18" s="457"/>
      <c r="D18" s="457"/>
      <c r="E18" s="457"/>
      <c r="F18" s="458"/>
      <c r="G18" s="458"/>
      <c r="H18" s="458"/>
      <c r="I18" s="458"/>
      <c r="J18" s="458"/>
      <c r="K18" s="458"/>
      <c r="L18" s="459"/>
    </row>
    <row r="19" spans="1:14" ht="12.95" customHeight="1" thickBot="1" x14ac:dyDescent="0.25">
      <c r="B19" s="19" t="s">
        <v>125</v>
      </c>
      <c r="C19" s="452"/>
      <c r="D19" s="453"/>
      <c r="E19" s="19"/>
      <c r="F19" s="202"/>
      <c r="G19" s="314" t="s">
        <v>79</v>
      </c>
      <c r="H19" s="314" t="s">
        <v>79</v>
      </c>
      <c r="I19" s="314" t="s">
        <v>79</v>
      </c>
      <c r="J19" s="314" t="s">
        <v>79</v>
      </c>
      <c r="K19" s="314" t="s">
        <v>79</v>
      </c>
      <c r="L19" s="211"/>
      <c r="M19" s="212"/>
    </row>
    <row r="20" spans="1:14" ht="12.95" customHeight="1" x14ac:dyDescent="0.2">
      <c r="B20" s="19" t="s">
        <v>420</v>
      </c>
      <c r="C20" s="452"/>
      <c r="D20" s="453"/>
      <c r="E20" s="455" t="s">
        <v>50</v>
      </c>
      <c r="F20" s="202"/>
      <c r="G20" s="244">
        <v>0</v>
      </c>
      <c r="H20" s="244">
        <v>0</v>
      </c>
      <c r="I20" s="244">
        <v>0</v>
      </c>
      <c r="J20" s="244">
        <v>0</v>
      </c>
      <c r="K20" s="244">
        <v>0</v>
      </c>
      <c r="L20" s="211"/>
    </row>
    <row r="21" spans="1:14" ht="12.95" customHeight="1" thickBot="1" x14ac:dyDescent="0.25">
      <c r="B21" s="287" t="s">
        <v>226</v>
      </c>
      <c r="C21" s="450" t="s">
        <v>223</v>
      </c>
      <c r="D21" s="451"/>
      <c r="E21" s="455"/>
      <c r="F21" s="158"/>
      <c r="G21" s="213" t="s">
        <v>224</v>
      </c>
      <c r="H21" s="213" t="s">
        <v>8</v>
      </c>
      <c r="I21" s="213" t="s">
        <v>312</v>
      </c>
      <c r="J21" s="213" t="s">
        <v>225</v>
      </c>
      <c r="K21" s="213" t="s">
        <v>50</v>
      </c>
      <c r="L21" s="214" t="s">
        <v>237</v>
      </c>
      <c r="M21" s="215"/>
    </row>
    <row r="22" spans="1:14" ht="12.95" customHeight="1" thickBot="1" x14ac:dyDescent="0.25">
      <c r="B22" s="19" t="s">
        <v>140</v>
      </c>
      <c r="C22" s="216">
        <f>IF($C$16=$B$69,'Machinery Calculations (Corn)'!B32,'Machinery Calculations (Corn)'!C40)</f>
        <v>1</v>
      </c>
      <c r="D22" s="239">
        <v>1</v>
      </c>
      <c r="E22" s="240" t="s">
        <v>90</v>
      </c>
      <c r="F22" s="217"/>
      <c r="G22" s="218">
        <f>IF(C16=B69,'Machinery Calculations (Corn)'!U32,'Machinery Calculations (Corn)'!U40)</f>
        <v>3.2028937499999994</v>
      </c>
      <c r="H22" s="218">
        <f>IF(C16=B69,'Machinery Calculations (Corn)'!X32,'Machinery Calculations (Corn)'!X40)</f>
        <v>5.517932979166666</v>
      </c>
      <c r="I22" s="219">
        <f>IF(C16=B69,'Machinery Calculations (Corn)'!Y32,'Machinery Calculations (Corn)'!Y40)</f>
        <v>11.203076048611109</v>
      </c>
      <c r="J22" s="218">
        <f>IF(C16=B69,'Machinery Calculations (Corn)'!V32+'Machinery Calculations (Corn)'!W32,'Machinery Calculations (Corn)'!V40+'Machinery Calculations (Corn)'!W40)</f>
        <v>2.3596296296296297</v>
      </c>
      <c r="K22" s="218">
        <f>IF(C16=B69,'Machinery Calculations (Corn)'!Z32,'Machinery Calculations (Corn)'!Z40)</f>
        <v>0</v>
      </c>
      <c r="L22" s="220">
        <f>SUM(G22:K22)</f>
        <v>22.283532407407407</v>
      </c>
    </row>
    <row r="23" spans="1:14" ht="12.95" customHeight="1" thickBot="1" x14ac:dyDescent="0.25">
      <c r="B23" s="19" t="s">
        <v>269</v>
      </c>
      <c r="C23" s="216">
        <f>IF($C$16=$B$69,'Machinery Calculations (Corn)'!B63,'Machinery Calculations (Corn)'!C63)</f>
        <v>2.5</v>
      </c>
      <c r="D23" s="241">
        <v>2.5</v>
      </c>
      <c r="E23" s="240" t="s">
        <v>90</v>
      </c>
      <c r="F23" s="209"/>
      <c r="G23" s="218">
        <f>'Machinery Calculations (Corn)'!U63</f>
        <v>1.1898906250000001</v>
      </c>
      <c r="H23" s="218">
        <f>'Machinery Calculations (Corn)'!X63</f>
        <v>5.51423296875</v>
      </c>
      <c r="I23" s="219">
        <f>'Machinery Calculations (Corn)'!Y63</f>
        <v>11.195563906250001</v>
      </c>
      <c r="J23" s="218">
        <f>'Machinery Calculations (Corn)'!V63+'Machinery Calculations (Corn)'!W63</f>
        <v>1.7249999999999999</v>
      </c>
      <c r="K23" s="218">
        <f>'Machinery Calculations (Corn)'!Z63</f>
        <v>0</v>
      </c>
      <c r="L23" s="220">
        <f t="shared" ref="L23:L29" si="0">SUM(G23:K23)</f>
        <v>19.624687500000004</v>
      </c>
    </row>
    <row r="24" spans="1:14" ht="12.95" customHeight="1" thickBot="1" x14ac:dyDescent="0.25">
      <c r="B24" s="19" t="s">
        <v>370</v>
      </c>
      <c r="C24" s="216">
        <f>IF($C$16=$B$69,'Machinery Calculations (Corn)'!B56,'Machinery Calculations (Corn)'!C56)</f>
        <v>2</v>
      </c>
      <c r="D24" s="241">
        <v>2</v>
      </c>
      <c r="E24" s="240" t="s">
        <v>90</v>
      </c>
      <c r="F24" s="217"/>
      <c r="G24" s="218">
        <f>'Machinery Calculations (Corn)'!U56</f>
        <v>2.6149490526406036</v>
      </c>
      <c r="H24" s="218">
        <f>'Machinery Calculations (Corn)'!X56</f>
        <v>3.3030960159703175</v>
      </c>
      <c r="I24" s="219">
        <f>'Machinery Calculations (Corn)'!Y56</f>
        <v>6.7062858506064016</v>
      </c>
      <c r="J24" s="218">
        <f>'Machinery Calculations (Corn)'!V56+'Machinery Calculations (Corn)'!W56</f>
        <v>1.8002456742397299</v>
      </c>
      <c r="K24" s="218">
        <f>'Machinery Calculations (Corn)'!Z56</f>
        <v>0</v>
      </c>
      <c r="L24" s="220">
        <f t="shared" si="0"/>
        <v>14.424576593457051</v>
      </c>
    </row>
    <row r="25" spans="1:14" ht="12.95" customHeight="1" thickBot="1" x14ac:dyDescent="0.25">
      <c r="B25" s="19" t="s">
        <v>371</v>
      </c>
      <c r="C25" s="216">
        <f>IF($C$16=$B$69,'Machinery Calculations (Corn)'!B59,'Machinery Calculations (Corn)'!C59)</f>
        <v>0</v>
      </c>
      <c r="D25" s="241">
        <v>0</v>
      </c>
      <c r="E25" s="240" t="s">
        <v>90</v>
      </c>
      <c r="F25" s="217"/>
      <c r="G25" s="218">
        <f>'Machinery Calculations (Corn)'!U59</f>
        <v>0</v>
      </c>
      <c r="H25" s="218">
        <f>'Machinery Calculations (Corn)'!X59</f>
        <v>0</v>
      </c>
      <c r="I25" s="219">
        <f>'Machinery Calculations (Corn)'!Y59</f>
        <v>0</v>
      </c>
      <c r="J25" s="218">
        <f>'Machinery Calculations (Corn)'!V59+'Machinery Calculations (Corn)'!W59</f>
        <v>0</v>
      </c>
      <c r="K25" s="218">
        <f>'Machinery Calculations (Corn)'!Z59</f>
        <v>0</v>
      </c>
      <c r="L25" s="220">
        <f t="shared" si="0"/>
        <v>0</v>
      </c>
    </row>
    <row r="26" spans="1:14" ht="12.95" customHeight="1" thickBot="1" x14ac:dyDescent="0.25">
      <c r="B26" s="19" t="s">
        <v>295</v>
      </c>
      <c r="C26" s="216">
        <f>IF($C$16=$B$69,'Machinery Calculations (Corn)'!B47,'Machinery Calculations (Corn)'!C47)</f>
        <v>1</v>
      </c>
      <c r="D26" s="241">
        <v>1</v>
      </c>
      <c r="E26" s="240" t="s">
        <v>90</v>
      </c>
      <c r="F26" s="217"/>
      <c r="G26" s="218">
        <f>'Machinery Calculations (Corn)'!U47</f>
        <v>9.0552437499999989</v>
      </c>
      <c r="H26" s="218">
        <f>'Machinery Calculations (Corn)'!X47</f>
        <v>7.7709291458333363</v>
      </c>
      <c r="I26" s="219">
        <f>'Machinery Calculations (Corn)'!Y47</f>
        <v>15.77734099305556</v>
      </c>
      <c r="J26" s="218">
        <f>'Machinery Calculations (Corn)'!V47+'Machinery Calculations (Corn)'!W47</f>
        <v>4.3614814814814808</v>
      </c>
      <c r="K26" s="218">
        <f>'Machinery Calculations (Corn)'!Z47</f>
        <v>0</v>
      </c>
      <c r="L26" s="220">
        <f t="shared" si="0"/>
        <v>36.964995370370382</v>
      </c>
    </row>
    <row r="27" spans="1:14" ht="12.95" customHeight="1" thickBot="1" x14ac:dyDescent="0.25">
      <c r="B27" s="19" t="s">
        <v>47</v>
      </c>
      <c r="C27" s="216">
        <f>IF($C$16=$B$69,'Machinery Calculations (Corn)'!B50,'Machinery Calculations (Corn)'!C50)</f>
        <v>1</v>
      </c>
      <c r="D27" s="241">
        <v>1</v>
      </c>
      <c r="E27" s="240" t="s">
        <v>90</v>
      </c>
      <c r="F27" s="217"/>
      <c r="G27" s="218">
        <f>'Machinery Calculations (Corn)'!U50</f>
        <v>0.64400000000000002</v>
      </c>
      <c r="H27" s="218">
        <f>'Machinery Calculations (Corn)'!X50</f>
        <v>1.1124300000000003</v>
      </c>
      <c r="I27" s="219">
        <f>'Machinery Calculations (Corn)'!Y50</f>
        <v>2.2585700000000002</v>
      </c>
      <c r="J27" s="218">
        <f>'Machinery Calculations (Corn)'!V50+'Machinery Calculations (Corn)'!W50</f>
        <v>2.2999999999999998</v>
      </c>
      <c r="K27" s="218">
        <f>'Machinery Calculations (Corn)'!Z50</f>
        <v>0</v>
      </c>
      <c r="L27" s="220">
        <f t="shared" si="0"/>
        <v>6.3150000000000004</v>
      </c>
    </row>
    <row r="28" spans="1:14" ht="12.95" customHeight="1" thickBot="1" x14ac:dyDescent="0.25">
      <c r="B28" s="19" t="s">
        <v>319</v>
      </c>
      <c r="C28" s="216">
        <f>IF($C$16=$B$69,'Machinery Calculations (Corn)'!B25,'Machinery Calculations (Corn)'!C25)</f>
        <v>0</v>
      </c>
      <c r="D28" s="241">
        <v>2</v>
      </c>
      <c r="E28" s="240" t="s">
        <v>90</v>
      </c>
      <c r="F28" s="217"/>
      <c r="G28" s="218">
        <f>'Machinery Calculations (Corn)'!U25</f>
        <v>0</v>
      </c>
      <c r="H28" s="218">
        <f>'Machinery Calculations (Corn)'!X25</f>
        <v>0</v>
      </c>
      <c r="I28" s="219">
        <f>'Machinery Calculations (Corn)'!Y25</f>
        <v>0</v>
      </c>
      <c r="J28" s="218">
        <f>'Machinery Calculations (Corn)'!V25+'Machinery Calculations (Corn)'!W25</f>
        <v>0</v>
      </c>
      <c r="K28" s="218">
        <f>'Machinery Calculations (Corn)'!Z25</f>
        <v>0</v>
      </c>
      <c r="L28" s="220">
        <f t="shared" si="0"/>
        <v>0</v>
      </c>
    </row>
    <row r="29" spans="1:14" ht="12.95" customHeight="1" thickBot="1" x14ac:dyDescent="0.25">
      <c r="B29" s="19" t="s">
        <v>280</v>
      </c>
      <c r="C29" s="216"/>
      <c r="D29" s="242"/>
      <c r="E29" s="243" t="s">
        <v>90</v>
      </c>
      <c r="F29" s="209"/>
      <c r="G29" s="218">
        <f>'Machinery Calculations (Corn)'!U51</f>
        <v>8.373842105263158</v>
      </c>
      <c r="H29" s="218">
        <f>'Machinery Calculations (Corn)'!X51</f>
        <v>6.0776765653655556</v>
      </c>
      <c r="I29" s="219">
        <f>'Machinery Calculations (Corn)'!Y51</f>
        <v>12.3395251478634</v>
      </c>
      <c r="J29" s="218">
        <f>'Machinery Calculations (Corn)'!V51+'Machinery Calculations (Corn)'!W51</f>
        <v>9.1461988304093556</v>
      </c>
      <c r="K29" s="218">
        <f>'Machinery Calculations (Corn)'!Z51</f>
        <v>0</v>
      </c>
      <c r="L29" s="220">
        <f t="shared" si="0"/>
        <v>35.937242648901467</v>
      </c>
    </row>
    <row r="30" spans="1:14" ht="5.0999999999999996" customHeight="1" x14ac:dyDescent="0.2">
      <c r="B30" s="439"/>
      <c r="C30" s="440"/>
      <c r="D30" s="440"/>
      <c r="E30" s="444"/>
      <c r="F30" s="440"/>
      <c r="G30" s="440"/>
      <c r="H30" s="440"/>
      <c r="I30" s="440"/>
      <c r="J30" s="440"/>
      <c r="K30" s="440"/>
      <c r="L30" s="441"/>
    </row>
    <row r="31" spans="1:14" ht="12.95" customHeight="1" thickBot="1" x14ac:dyDescent="0.25">
      <c r="B31" s="288" t="s">
        <v>419</v>
      </c>
      <c r="C31" s="284"/>
      <c r="D31" s="284"/>
      <c r="E31" s="286"/>
      <c r="F31" s="285"/>
      <c r="G31" s="430" t="str">
        <f>IF(C16=B68,"Please select one from each list below.","Please select one from each list below. Ensure that 'additional tillage' options are not the same." )</f>
        <v>Please select one from each list below.</v>
      </c>
      <c r="H31" s="430"/>
      <c r="I31" s="430"/>
      <c r="J31" s="430"/>
      <c r="K31" s="430"/>
      <c r="L31" s="431"/>
    </row>
    <row r="32" spans="1:14" ht="12.95" customHeight="1" thickBot="1" x14ac:dyDescent="0.25">
      <c r="B32" s="315" t="s">
        <v>349</v>
      </c>
      <c r="C32" s="221">
        <f>IF(B32=G51,L51,IF(B32=G52,L52,0))</f>
        <v>0</v>
      </c>
      <c r="D32" s="241">
        <v>0.5</v>
      </c>
      <c r="E32" s="240" t="s">
        <v>90</v>
      </c>
      <c r="F32" s="209"/>
      <c r="G32" s="222">
        <f>IF(B32=G50,0,IF(B32=G51,IF(C16=B69,'Machinery Calculations (Corn)'!U37,'Machinery Calculations (Corn)'!U44),IF(B32=G52,IF(C16=B69,'Machinery Calculations (Corn)'!U36,'Machinery Calculations (Corn)'!U43))))</f>
        <v>0</v>
      </c>
      <c r="H32" s="222">
        <f>IF(B32=G50,0,IF(B32=G51,IF(C16=B69,'Machinery Calculations (Corn)'!X37,'Machinery Calculations (Corn)'!X44),IF(B32=G52,IF(C16=B69,'Machinery Calculations (Corn)'!X36,'Machinery Calculations (Corn)'!X43))))</f>
        <v>0</v>
      </c>
      <c r="I32" s="223">
        <f>IF(B32=G50,0,IF(B32=G51,IF(C16=B69,'Machinery Calculations (Corn)'!Y37,'Machinery Calculations (Corn)'!Y44),IF(B32=G52,IF(C16=B69,'Machinery Calculations (Corn)'!Y36,'Machinery Calculations (Corn)'!Y43))))</f>
        <v>0</v>
      </c>
      <c r="J32" s="222">
        <f>IF(B32=G50,0,IF(B32=G51,IF(C16=B69,'Machinery Calculations (Corn)'!V37+'Machinery Calculations (Corn)'!W37,'Machinery Calculations (Corn)'!V44+'Machinery Calculations (Corn)'!W44),IF(B32=G52,IF(C16=B69,'Machinery Calculations (Corn)'!V36+'Machinery Calculations (Corn)'!W36,'Machinery Calculations (Corn)'!V43+'Machinery Calculations (Corn)'!W43))))</f>
        <v>0</v>
      </c>
      <c r="K32" s="222">
        <f>IF(B32=G50,0,IF(B32=G51,IF(C16=B69,'Machinery Calculations (Corn)'!Z37,'Machinery Calculations (Corn)'!Z44),IF(B32=G52,IF(C16=B69,'Machinery Calculations (Corn)'!Z36,'Machinery Calculations (Corn)'!Z43))))</f>
        <v>0</v>
      </c>
      <c r="L32" s="220">
        <f>SUM(G32:K32)</f>
        <v>0</v>
      </c>
      <c r="N32" s="224" t="s">
        <v>320</v>
      </c>
    </row>
    <row r="33" spans="2:14" ht="12.95" customHeight="1" thickBot="1" x14ac:dyDescent="0.25">
      <c r="B33" s="315" t="s">
        <v>350</v>
      </c>
      <c r="C33" s="221">
        <f>IF(B33=G53,0,IF(C16=B68,'Machinery Calculations (Corn)'!C29,'Machinery Calculations (Corn)'!B29))</f>
        <v>0.5</v>
      </c>
      <c r="D33" s="241">
        <v>0.5</v>
      </c>
      <c r="E33" s="240" t="s">
        <v>90</v>
      </c>
      <c r="F33" s="211"/>
      <c r="G33" s="222">
        <f>IF(B33=G54,'Machinery Calculations (Corn)'!U29,0)</f>
        <v>1.7126374999999998</v>
      </c>
      <c r="H33" s="222">
        <f>IF(B33=G54,'Machinery Calculations (Corn)'!X29,0)</f>
        <v>1.3868021250000002</v>
      </c>
      <c r="I33" s="223">
        <f>IF(B33=G54,'Machinery Calculations (Corn)'!Y29,0)</f>
        <v>2.815628556818182</v>
      </c>
      <c r="J33" s="222">
        <f>IF(B33=G54,'Machinery Calculations (Corn)'!V29+'Machinery Calculations (Corn)'!W29,0)</f>
        <v>1.6309090909090906</v>
      </c>
      <c r="K33" s="222">
        <f>IF(B33=G54,'Machinery Calculations (Corn)'!Z29,0)</f>
        <v>0</v>
      </c>
      <c r="L33" s="220">
        <f>SUM(G33:K33)</f>
        <v>7.5459772727272725</v>
      </c>
      <c r="N33" s="224" t="s">
        <v>320</v>
      </c>
    </row>
    <row r="34" spans="2:14" ht="12.95" customHeight="1" thickBot="1" x14ac:dyDescent="0.25">
      <c r="B34" s="315" t="s">
        <v>345</v>
      </c>
      <c r="C34" s="221">
        <f>IF(B34=G56,'Machinery Calculations (Corn)'!B21,IF(B34=G57,'Machinery Calculations (Corn)'!B22,IF(B34=G58,'Machinery Calculations (Corn)'!B27,0)))</f>
        <v>0</v>
      </c>
      <c r="D34" s="241">
        <v>0.5</v>
      </c>
      <c r="E34" s="240" t="s">
        <v>90</v>
      </c>
      <c r="F34" s="209"/>
      <c r="G34" s="222">
        <f>IF(B34=G56,'Machinery Calculations (Corn)'!U21,IF(B34=G57,'Machinery Calculations (Corn)'!U22,IF(B34=G58,'Machinery Calculations (Corn)'!U27,0)))</f>
        <v>0</v>
      </c>
      <c r="H34" s="222">
        <f>IF(B34=G56,'Machinery Calculations (Corn)'!X21,IF(B34=G57,'Machinery Calculations (Corn)'!X22,IF(B34=G58,'Machinery Calculations (Corn)'!X27,0)))</f>
        <v>0</v>
      </c>
      <c r="I34" s="223">
        <f>IF(B34=G56,'Machinery Calculations (Corn)'!Y21,IF(B34=G57,'Machinery Calculations (Corn)'!Y22,IF(B34=G58,'Machinery Calculations (Corn)'!Y27,0)))</f>
        <v>0</v>
      </c>
      <c r="J34" s="222">
        <f>IF(B34=G56,'Machinery Calculations (Corn)'!V21+'Machinery Calculations (Corn)'!W21,IF(B34=G57,'Machinery Calculations (Corn)'!V22+'Machinery Calculations (Corn)'!W22,IF(B34=G58,'Machinery Calculations (Corn)'!V27+'Machinery Calculations (Corn)'!W27,0)))</f>
        <v>0</v>
      </c>
      <c r="K34" s="222">
        <f>IF(B34=G56,'Machinery Calculations (Corn)'!Z21,IF(B34=G57,'Machinery Calculations (Corn)'!Z22,IF(B34=G58,'Machinery Calculations (Corn)'!Z27,0)))</f>
        <v>0</v>
      </c>
      <c r="L34" s="220">
        <f>SUM(G34:K34)</f>
        <v>0</v>
      </c>
      <c r="N34" s="224" t="s">
        <v>320</v>
      </c>
    </row>
    <row r="35" spans="2:14" ht="12.95" customHeight="1" thickBot="1" x14ac:dyDescent="0.25">
      <c r="B35" s="315" t="s">
        <v>345</v>
      </c>
      <c r="C35" s="225">
        <f>IF(B35=G60,'Machinery Calculations (Corn)'!B21,IF(B35=G61,'Machinery Calculations (Corn)'!B22,IF(B35=G62,'Machinery Calculations (Corn)'!B27,0)))</f>
        <v>0</v>
      </c>
      <c r="D35" s="241">
        <v>0.5</v>
      </c>
      <c r="E35" s="240" t="s">
        <v>90</v>
      </c>
      <c r="F35" s="209"/>
      <c r="G35" s="222">
        <f>IF(B35=G60,'Machinery Calculations (Corn)'!U21,IF(B35=G61,'Machinery Calculations (Corn)'!U22,IF(B35=G62,'Machinery Calculations (Corn)'!U27,0)))</f>
        <v>0</v>
      </c>
      <c r="H35" s="222">
        <f>IF(B35=G60,'Machinery Calculations (Corn)'!X21,IF(B35=G61,'Machinery Calculations (Corn)'!X22,IF(B35=G62,'Machinery Calculations (Corn)'!X27,0)))</f>
        <v>0</v>
      </c>
      <c r="I35" s="223">
        <f>IF(B35=G60,'Machinery Calculations (Corn)'!Y21,IF(B35=G61,'Machinery Calculations (Corn)'!Y22,IF(B35=G62,'Machinery Calculations (Corn)'!Y27,0)))</f>
        <v>0</v>
      </c>
      <c r="J35" s="222">
        <f>IF(B35=G60,'Machinery Calculations (Corn)'!V21+'Machinery Calculations (Corn)'!W21,IF(B35=G61,'Machinery Calculations (Corn)'!V22+'Machinery Calculations (Corn)'!W22,IF(B35=G62,'Machinery Calculations (Corn)'!V27+'Machinery Calculations (Corn)'!W27,0)))</f>
        <v>0</v>
      </c>
      <c r="K35" s="222">
        <f>IF(B35=G60,'Machinery Calculations (Corn)'!Z21,IF(B35=G61,'Machinery Calculations (Corn)'!Z22,IF(B35=G62,'Machinery Calculations (Corn)'!Z27,0)))</f>
        <v>0</v>
      </c>
      <c r="L35" s="220">
        <f>SUM(G35:K35)</f>
        <v>0</v>
      </c>
      <c r="N35" s="224" t="str">
        <f>IF(B35=G59,"Select an additional machinery operation or none.",IF(B35=B34,"Please make sure that the additional tillage options are not the same","Select an additional machinery operation or none."))</f>
        <v>Select an additional machinery operation or none.</v>
      </c>
    </row>
    <row r="36" spans="2:14" ht="12.95" customHeight="1" x14ac:dyDescent="0.2">
      <c r="B36" s="226"/>
      <c r="C36" s="432" t="s">
        <v>408</v>
      </c>
      <c r="D36" s="433"/>
      <c r="E36" s="442"/>
      <c r="F36" s="443"/>
      <c r="G36" s="443"/>
      <c r="H36" s="443"/>
      <c r="I36" s="443"/>
      <c r="J36" s="443"/>
      <c r="K36" s="443"/>
      <c r="L36" s="433"/>
    </row>
    <row r="37" spans="2:14" ht="12.95" customHeight="1" x14ac:dyDescent="0.2">
      <c r="B37" s="19" t="s">
        <v>409</v>
      </c>
      <c r="C37" s="434">
        <f>IF(C10=B73,C11,D11)</f>
        <v>0.75</v>
      </c>
      <c r="D37" s="435"/>
      <c r="E37" s="227"/>
      <c r="F37" s="202"/>
      <c r="G37" s="222" t="s">
        <v>277</v>
      </c>
      <c r="H37" s="222" t="s">
        <v>277</v>
      </c>
      <c r="I37" s="219" t="s">
        <v>277</v>
      </c>
      <c r="J37" s="222">
        <f>'Machinery Calculations (Corn)'!V71+'Machinery Calculations (Corn)'!W71</f>
        <v>15</v>
      </c>
      <c r="K37" s="219" t="s">
        <v>277</v>
      </c>
      <c r="L37" s="220">
        <f>SUM(G37:K37)</f>
        <v>15</v>
      </c>
    </row>
    <row r="38" spans="2:14" ht="12.95" customHeight="1" x14ac:dyDescent="0.2">
      <c r="B38" s="202" t="s">
        <v>410</v>
      </c>
      <c r="C38" s="434">
        <f>IF(C10=B73,C12,D12)</f>
        <v>0.35</v>
      </c>
      <c r="D38" s="435"/>
      <c r="E38" s="83"/>
      <c r="F38" s="19"/>
      <c r="G38" s="222">
        <f>'Machinery Calculations (Corn)'!U72</f>
        <v>1.2249999999999999</v>
      </c>
      <c r="H38" s="222" t="s">
        <v>277</v>
      </c>
      <c r="I38" s="219" t="s">
        <v>277</v>
      </c>
      <c r="J38" s="223" t="s">
        <v>277</v>
      </c>
      <c r="K38" s="219" t="s">
        <v>277</v>
      </c>
      <c r="L38" s="220">
        <f>SUM(G38:K38)</f>
        <v>1.2249999999999999</v>
      </c>
    </row>
    <row r="39" spans="2:14" ht="12.95" customHeight="1" x14ac:dyDescent="0.2">
      <c r="B39" s="439"/>
      <c r="C39" s="440"/>
      <c r="D39" s="440"/>
      <c r="E39" s="440"/>
      <c r="F39" s="440"/>
      <c r="G39" s="440"/>
      <c r="H39" s="440"/>
      <c r="I39" s="440"/>
      <c r="J39" s="440"/>
      <c r="K39" s="440"/>
      <c r="L39" s="441"/>
    </row>
    <row r="40" spans="2:14" ht="12.95" customHeight="1" x14ac:dyDescent="0.2">
      <c r="B40" s="436" t="s">
        <v>83</v>
      </c>
      <c r="C40" s="437"/>
      <c r="D40" s="437"/>
      <c r="E40" s="437"/>
      <c r="F40" s="438"/>
      <c r="G40" s="228">
        <f t="shared" ref="G40:K40" si="1">SUM(G22:G38)</f>
        <v>28.018456782903762</v>
      </c>
      <c r="H40" s="228">
        <f t="shared" si="1"/>
        <v>30.683099800085873</v>
      </c>
      <c r="I40" s="229">
        <f t="shared" si="1"/>
        <v>62.295990503204656</v>
      </c>
      <c r="J40" s="228">
        <f t="shared" si="1"/>
        <v>38.323464706669284</v>
      </c>
      <c r="K40" s="228">
        <f t="shared" si="1"/>
        <v>0</v>
      </c>
      <c r="L40" s="220">
        <f>SUM(L22:L38)</f>
        <v>159.32101179286357</v>
      </c>
      <c r="N40" s="71"/>
    </row>
    <row r="41" spans="2:14" x14ac:dyDescent="0.2">
      <c r="B41" s="13"/>
      <c r="D41" s="230"/>
      <c r="E41" s="230"/>
      <c r="G41" s="231"/>
      <c r="H41" s="231"/>
      <c r="I41" s="231"/>
      <c r="J41" s="231"/>
      <c r="K41" s="231"/>
      <c r="L41" s="231"/>
    </row>
    <row r="42" spans="2:14" x14ac:dyDescent="0.2">
      <c r="B42" s="13"/>
      <c r="D42" s="230"/>
      <c r="E42" s="230"/>
      <c r="G42" s="231"/>
      <c r="H42" s="231"/>
      <c r="I42" s="231"/>
      <c r="J42" s="231"/>
      <c r="K42" s="231"/>
      <c r="L42" s="231"/>
    </row>
    <row r="43" spans="2:14" x14ac:dyDescent="0.2">
      <c r="B43" s="13"/>
      <c r="D43" s="232"/>
      <c r="E43" s="230"/>
      <c r="G43" s="231"/>
      <c r="H43" s="231"/>
      <c r="I43" s="231"/>
      <c r="J43" s="231"/>
      <c r="K43" s="231"/>
      <c r="L43" s="231"/>
    </row>
    <row r="44" spans="2:14" x14ac:dyDescent="0.2">
      <c r="B44" s="13"/>
      <c r="D44" s="232"/>
      <c r="E44" s="230"/>
      <c r="G44" s="231"/>
      <c r="H44" s="231"/>
      <c r="I44" s="231"/>
      <c r="J44" s="231"/>
      <c r="K44" s="231"/>
      <c r="L44" s="231"/>
    </row>
    <row r="45" spans="2:14" x14ac:dyDescent="0.2">
      <c r="B45" s="13"/>
      <c r="D45" s="232"/>
      <c r="E45" s="230"/>
      <c r="G45" s="231"/>
      <c r="H45" s="231"/>
      <c r="I45" s="231"/>
      <c r="J45" s="231"/>
      <c r="K45" s="231"/>
      <c r="L45" s="231"/>
    </row>
    <row r="46" spans="2:14" x14ac:dyDescent="0.2">
      <c r="D46" s="232"/>
    </row>
    <row r="49" spans="2:12" hidden="1" x14ac:dyDescent="0.2">
      <c r="B49" s="15" t="s">
        <v>51</v>
      </c>
      <c r="F49"/>
      <c r="G49" s="70"/>
      <c r="H49" s="70"/>
      <c r="I49" s="233" t="s">
        <v>219</v>
      </c>
      <c r="J49" s="233" t="s">
        <v>346</v>
      </c>
      <c r="K49" s="233"/>
      <c r="L49" s="15" t="s">
        <v>347</v>
      </c>
    </row>
    <row r="50" spans="2:12" hidden="1" x14ac:dyDescent="0.2">
      <c r="B50" s="15" t="s">
        <v>90</v>
      </c>
      <c r="F50" s="234" t="s">
        <v>330</v>
      </c>
      <c r="G50" s="15" t="s">
        <v>349</v>
      </c>
      <c r="I50" s="233"/>
      <c r="J50" s="233"/>
      <c r="K50" s="233"/>
    </row>
    <row r="51" spans="2:12" hidden="1" x14ac:dyDescent="0.2">
      <c r="F51"/>
      <c r="G51" s="15" t="s">
        <v>340</v>
      </c>
      <c r="I51" s="233">
        <f>IF(B32=G51,'Machinery Calculations (Corn)'!C44,0)</f>
        <v>0</v>
      </c>
      <c r="J51" s="233">
        <f>IF(B32=G51,'Machinery Calculations (Corn)'!B37,0)</f>
        <v>0</v>
      </c>
      <c r="K51" s="233"/>
      <c r="L51" s="15">
        <f>IF($C$16=$B$68,I51,J51)</f>
        <v>0</v>
      </c>
    </row>
    <row r="52" spans="2:12" hidden="1" x14ac:dyDescent="0.2">
      <c r="B52" s="15" t="s">
        <v>79</v>
      </c>
      <c r="F52"/>
      <c r="G52" s="15" t="s">
        <v>341</v>
      </c>
      <c r="I52" s="233">
        <f>IF(B32=G52,'Machinery Calculations (Corn)'!C43,0)</f>
        <v>0</v>
      </c>
      <c r="J52" s="233">
        <f>IF(B32=G52,'Machinery Calculations (Corn)'!B36,0)</f>
        <v>0</v>
      </c>
      <c r="K52" s="233"/>
      <c r="L52" s="15">
        <f>IF($C$16=$B$68,I52,J52)</f>
        <v>0</v>
      </c>
    </row>
    <row r="53" spans="2:12" hidden="1" x14ac:dyDescent="0.2">
      <c r="B53" s="15" t="s">
        <v>80</v>
      </c>
      <c r="F53" s="234" t="s">
        <v>331</v>
      </c>
      <c r="G53" s="15" t="s">
        <v>351</v>
      </c>
      <c r="I53" s="233">
        <f>IF(B33=G54,'Machinery Calculations (Corn)'!C29,0)</f>
        <v>0.5</v>
      </c>
      <c r="J53" s="233">
        <f>IF(B33=G54,'Machinery Calculations (Corn)'!B29,0)</f>
        <v>0.5</v>
      </c>
      <c r="K53" s="233"/>
    </row>
    <row r="54" spans="2:12" hidden="1" x14ac:dyDescent="0.2">
      <c r="B54" s="15" t="s">
        <v>246</v>
      </c>
      <c r="F54"/>
      <c r="G54" s="15" t="s">
        <v>350</v>
      </c>
      <c r="I54" s="233"/>
      <c r="J54" s="233"/>
      <c r="K54" s="233"/>
    </row>
    <row r="55" spans="2:12" hidden="1" x14ac:dyDescent="0.2">
      <c r="F55" s="234" t="s">
        <v>335</v>
      </c>
      <c r="G55" s="15" t="s">
        <v>345</v>
      </c>
      <c r="H55"/>
      <c r="I55" s="233"/>
      <c r="J55" s="233"/>
      <c r="K55" s="233"/>
    </row>
    <row r="56" spans="2:12" hidden="1" x14ac:dyDescent="0.2">
      <c r="B56" s="15" t="s">
        <v>213</v>
      </c>
      <c r="F56" s="234"/>
      <c r="G56" s="15" t="s">
        <v>342</v>
      </c>
      <c r="H56"/>
      <c r="I56" s="233"/>
      <c r="J56" s="235"/>
      <c r="K56" s="235"/>
    </row>
    <row r="57" spans="2:12" hidden="1" x14ac:dyDescent="0.2">
      <c r="B57" s="15" t="s">
        <v>214</v>
      </c>
      <c r="G57" s="15" t="s">
        <v>343</v>
      </c>
      <c r="H57"/>
      <c r="I57" s="233"/>
      <c r="J57" s="233"/>
      <c r="K57" s="233"/>
    </row>
    <row r="58" spans="2:12" hidden="1" x14ac:dyDescent="0.2">
      <c r="G58" s="15" t="s">
        <v>344</v>
      </c>
      <c r="H58"/>
      <c r="I58" s="233"/>
      <c r="J58" s="233"/>
      <c r="K58" s="233"/>
    </row>
    <row r="59" spans="2:12" hidden="1" x14ac:dyDescent="0.2">
      <c r="F59" s="234" t="s">
        <v>336</v>
      </c>
      <c r="G59" s="15" t="s">
        <v>345</v>
      </c>
      <c r="H59"/>
      <c r="I59" s="233"/>
      <c r="J59" s="233"/>
      <c r="K59" s="233"/>
    </row>
    <row r="60" spans="2:12" hidden="1" x14ac:dyDescent="0.2">
      <c r="G60" s="15" t="s">
        <v>342</v>
      </c>
      <c r="H60"/>
      <c r="I60" s="233"/>
      <c r="J60" s="233"/>
      <c r="K60" s="233"/>
    </row>
    <row r="61" spans="2:12" hidden="1" x14ac:dyDescent="0.2">
      <c r="B61" s="15" t="s">
        <v>233</v>
      </c>
      <c r="F61"/>
      <c r="G61" s="15" t="s">
        <v>343</v>
      </c>
      <c r="I61" s="233"/>
      <c r="J61" s="233"/>
      <c r="K61" s="233"/>
    </row>
    <row r="62" spans="2:12" hidden="1" x14ac:dyDescent="0.2">
      <c r="B62" s="15" t="s">
        <v>309</v>
      </c>
      <c r="F62" s="233"/>
      <c r="G62" s="15" t="s">
        <v>344</v>
      </c>
      <c r="I62" s="233"/>
      <c r="J62" s="233"/>
      <c r="K62" s="233"/>
    </row>
    <row r="63" spans="2:12" hidden="1" x14ac:dyDescent="0.2">
      <c r="I63" s="236"/>
      <c r="J63" s="236"/>
      <c r="K63" s="236"/>
    </row>
    <row r="64" spans="2:12" hidden="1" x14ac:dyDescent="0.2">
      <c r="B64" s="15" t="s">
        <v>235</v>
      </c>
      <c r="I64" s="236"/>
      <c r="J64" s="236"/>
      <c r="K64" s="236"/>
    </row>
    <row r="65" spans="2:11" hidden="1" x14ac:dyDescent="0.2">
      <c r="B65" s="15" t="s">
        <v>234</v>
      </c>
      <c r="I65" s="236"/>
      <c r="J65" s="236"/>
      <c r="K65" s="236"/>
    </row>
    <row r="66" spans="2:11" hidden="1" x14ac:dyDescent="0.2">
      <c r="I66" s="236"/>
      <c r="J66" s="236"/>
      <c r="K66" s="236"/>
    </row>
    <row r="67" spans="2:11" hidden="1" x14ac:dyDescent="0.2">
      <c r="F67" s="234"/>
      <c r="I67" s="233"/>
      <c r="J67" s="233"/>
      <c r="K67" s="233"/>
    </row>
    <row r="68" spans="2:11" hidden="1" x14ac:dyDescent="0.2">
      <c r="B68" s="15" t="s">
        <v>217</v>
      </c>
      <c r="F68" s="234"/>
      <c r="I68" s="233"/>
      <c r="J68" s="233"/>
      <c r="K68" s="233"/>
    </row>
    <row r="69" spans="2:11" hidden="1" x14ac:dyDescent="0.2">
      <c r="B69" s="15" t="s">
        <v>227</v>
      </c>
      <c r="I69" s="236"/>
      <c r="J69" s="236"/>
      <c r="K69" s="236"/>
    </row>
    <row r="70" spans="2:11" hidden="1" x14ac:dyDescent="0.2">
      <c r="I70" s="236"/>
      <c r="J70" s="236"/>
      <c r="K70" s="236"/>
    </row>
    <row r="71" spans="2:11" hidden="1" x14ac:dyDescent="0.2">
      <c r="I71" s="236"/>
      <c r="J71" s="236"/>
      <c r="K71" s="236"/>
    </row>
    <row r="72" spans="2:11" hidden="1" x14ac:dyDescent="0.2">
      <c r="B72" s="197" t="s">
        <v>426</v>
      </c>
      <c r="I72" s="236"/>
      <c r="J72" s="236"/>
      <c r="K72" s="236"/>
    </row>
    <row r="73" spans="2:11" hidden="1" x14ac:dyDescent="0.2">
      <c r="B73" s="197" t="s">
        <v>348</v>
      </c>
      <c r="F73" s="234"/>
      <c r="I73" s="233"/>
      <c r="J73" s="233"/>
      <c r="K73" s="233"/>
    </row>
  </sheetData>
  <sheetProtection algorithmName="SHA-512" hashValue="gS2dJ/yUQgXGGEmOn6v3BYBdo3eWxIxydbjGhM1UKGDTCkymO7OlTAl92c8JfuE2Dw0aoHkLiyLr+6ckSMqYbQ==" saltValue="+wAAy+a9QvppdGlgMLBIkw==" spinCount="100000" sheet="1" objects="1" scenarios="1" formatCells="0" formatColumns="0" formatRows="0"/>
  <mergeCells count="38">
    <mergeCell ref="B18:L18"/>
    <mergeCell ref="E12:L12"/>
    <mergeCell ref="B3:L3"/>
    <mergeCell ref="B2:L2"/>
    <mergeCell ref="C17:E17"/>
    <mergeCell ref="C16:E16"/>
    <mergeCell ref="B14:L14"/>
    <mergeCell ref="G16:L16"/>
    <mergeCell ref="G17:L17"/>
    <mergeCell ref="C9:D9"/>
    <mergeCell ref="C8:D8"/>
    <mergeCell ref="C7:D7"/>
    <mergeCell ref="C6:D6"/>
    <mergeCell ref="G13:M13"/>
    <mergeCell ref="E11:L11"/>
    <mergeCell ref="B30:L30"/>
    <mergeCell ref="E6:L6"/>
    <mergeCell ref="B15:L15"/>
    <mergeCell ref="C4:D4"/>
    <mergeCell ref="E7:L7"/>
    <mergeCell ref="E8:L8"/>
    <mergeCell ref="E9:L9"/>
    <mergeCell ref="E4:L4"/>
    <mergeCell ref="E5:L5"/>
    <mergeCell ref="E10:L10"/>
    <mergeCell ref="C10:D10"/>
    <mergeCell ref="C21:D21"/>
    <mergeCell ref="C20:D20"/>
    <mergeCell ref="C19:D19"/>
    <mergeCell ref="C5:D5"/>
    <mergeCell ref="E20:E21"/>
    <mergeCell ref="G31:L31"/>
    <mergeCell ref="C36:D36"/>
    <mergeCell ref="C37:D37"/>
    <mergeCell ref="B40:F40"/>
    <mergeCell ref="B39:L39"/>
    <mergeCell ref="E36:L36"/>
    <mergeCell ref="C38:D38"/>
  </mergeCells>
  <phoneticPr fontId="6" type="noConversion"/>
  <conditionalFormatting sqref="B28:L28 B34:L35 N34:N35">
    <cfRule type="expression" dxfId="45" priority="1">
      <formula>$C$16=$B$68</formula>
    </cfRule>
  </conditionalFormatting>
  <conditionalFormatting sqref="D11:D12">
    <cfRule type="expression" dxfId="42" priority="251">
      <formula>$C$10=$B$73</formula>
    </cfRule>
  </conditionalFormatting>
  <conditionalFormatting sqref="D32:E32">
    <cfRule type="expression" dxfId="41" priority="10">
      <formula>$B$32=$G$50</formula>
    </cfRule>
  </conditionalFormatting>
  <conditionalFormatting sqref="D33:E33">
    <cfRule type="expression" dxfId="40" priority="9">
      <formula>$B$33=$G$53</formula>
    </cfRule>
  </conditionalFormatting>
  <conditionalFormatting sqref="D34:E34">
    <cfRule type="expression" dxfId="39" priority="8">
      <formula>$B$34=$G$55</formula>
    </cfRule>
  </conditionalFormatting>
  <conditionalFormatting sqref="D35:E35">
    <cfRule type="expression" dxfId="38" priority="7">
      <formula>$B$35=$G$59</formula>
    </cfRule>
  </conditionalFormatting>
  <conditionalFormatting sqref="E22:E29 E32:E35">
    <cfRule type="expression" dxfId="37" priority="5">
      <formula>$C$17=$B$73</formula>
    </cfRule>
  </conditionalFormatting>
  <conditionalFormatting sqref="G20">
    <cfRule type="expression" dxfId="36" priority="252">
      <formula>$G$19=$B$54</formula>
    </cfRule>
  </conditionalFormatting>
  <conditionalFormatting sqref="G35:L35 N35">
    <cfRule type="expression" dxfId="35" priority="256">
      <formula>$B$35=$G$59</formula>
    </cfRule>
    <cfRule type="expression" dxfId="34" priority="411">
      <formula>$B$35=$B$34</formula>
    </cfRule>
  </conditionalFormatting>
  <conditionalFormatting sqref="H20">
    <cfRule type="expression" dxfId="33" priority="253">
      <formula>$H$19=$B$54</formula>
    </cfRule>
  </conditionalFormatting>
  <conditionalFormatting sqref="I20">
    <cfRule type="expression" dxfId="32" priority="254">
      <formula>$I$19=$B$54</formula>
    </cfRule>
  </conditionalFormatting>
  <conditionalFormatting sqref="J20:K20">
    <cfRule type="expression" dxfId="31" priority="255">
      <formula>$J$19=$B$54</formula>
    </cfRule>
  </conditionalFormatting>
  <conditionalFormatting sqref="K19:K20 D22:E29 K22:K29 D32:E35 K32:K35 K37:K38 K40">
    <cfRule type="expression" dxfId="30" priority="249">
      <formula>$C$17=$B$73</formula>
    </cfRule>
  </conditionalFormatting>
  <dataValidations xWindow="433" yWindow="443" count="8">
    <dataValidation type="list" allowBlank="1" showInputMessage="1" showErrorMessage="1" sqref="B34" xr:uid="{00000000-0002-0000-0400-000000000000}">
      <formula1>$G$55:$G$58</formula1>
    </dataValidation>
    <dataValidation type="list" allowBlank="1" showInputMessage="1" showErrorMessage="1" sqref="B35" xr:uid="{00000000-0002-0000-0400-000001000000}">
      <formula1>$G$59:$G$62</formula1>
    </dataValidation>
    <dataValidation type="list" allowBlank="1" showInputMessage="1" showErrorMessage="1" sqref="B32" xr:uid="{00000000-0002-0000-0400-000002000000}">
      <formula1>$G$50:$G$52</formula1>
    </dataValidation>
    <dataValidation type="list" allowBlank="1" showInputMessage="1" showErrorMessage="1" sqref="B33" xr:uid="{00000000-0002-0000-0400-000003000000}">
      <formula1>$G$53:$G$54</formula1>
    </dataValidation>
    <dataValidation type="list" allowBlank="1" showInputMessage="1" showErrorMessage="1" sqref="C7 E32:E35 E22:E29" xr:uid="{00000000-0002-0000-0400-000004000000}">
      <formula1>$B$49:$B$50</formula1>
    </dataValidation>
    <dataValidation type="list" allowBlank="1" showInputMessage="1" showErrorMessage="1" sqref="C17:E17 C10:D10" xr:uid="{00000000-0002-0000-0400-000005000000}">
      <formula1>$B$72:$B$73</formula1>
    </dataValidation>
    <dataValidation type="list" allowBlank="1" showInputMessage="1" showErrorMessage="1" sqref="C16:E16" xr:uid="{00000000-0002-0000-0400-000007000000}">
      <formula1>$B$68:$B$69</formula1>
    </dataValidation>
    <dataValidation type="list" allowBlank="1" showInputMessage="1" showErrorMessage="1" sqref="G19:K19" xr:uid="{00000000-0002-0000-0400-000008000000}">
      <formula1>$B$52:$B$54</formula1>
    </dataValidation>
  </dataValidations>
  <pageMargins left="0.75" right="0.75" top="1" bottom="1" header="0.5" footer="0.5"/>
  <pageSetup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id="{BC9D955B-8BD1-44E7-8325-FB3687DC8C83}">
            <xm:f>Corn!$I$21=Corn!$D$59</xm:f>
            <x14:dxf>
              <font>
                <color theme="0"/>
              </font>
              <fill>
                <patternFill patternType="none">
                  <bgColor auto="1"/>
                </patternFill>
              </fill>
              <border>
                <left/>
                <right/>
                <top/>
                <bottom/>
                <vertical/>
                <horizontal/>
              </border>
            </x14:dxf>
          </x14:cfRule>
          <xm:sqref>B2:L12 B15:N40</xm:sqref>
        </x14:conditionalFormatting>
        <x14:conditionalFormatting xmlns:xm="http://schemas.microsoft.com/office/excel/2006/main">
          <x14:cfRule type="expression" priority="410" id="{FD976FFE-6C4A-4D65-9D89-7423DBAF46AB}">
            <xm:f>Corn!$I$21=Corn!$D$59</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408" id="{27C64964-493A-4EBF-A45B-62BB74BFEB76}">
            <xm:f>Corn!$C$27=Corn!$C$84</xm:f>
            <x14:dxf>
              <font>
                <color theme="0"/>
              </font>
            </x14:dxf>
          </x14:cfRule>
          <x14:cfRule type="expression" priority="409" id="{79BE3CEB-25BB-4566-B524-6FB5F1483D7C}">
            <xm:f>Corn!$D$26=Corn!$C$69</xm:f>
            <x14:dxf>
              <font>
                <color theme="0"/>
              </font>
            </x14:dxf>
          </x14:cfRule>
          <xm:sqref>B29:L29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39"/>
  <sheetViews>
    <sheetView showGridLines="0" zoomScaleNormal="100" workbookViewId="0">
      <selection activeCell="B2" sqref="B2:K2"/>
    </sheetView>
  </sheetViews>
  <sheetFormatPr defaultColWidth="9.140625" defaultRowHeight="12.75" x14ac:dyDescent="0.2"/>
  <cols>
    <col min="1" max="1" width="3.7109375" customWidth="1"/>
    <col min="2" max="2" width="28.140625" customWidth="1"/>
    <col min="4" max="4" width="10" customWidth="1"/>
    <col min="5" max="5" width="3.7109375" customWidth="1"/>
  </cols>
  <sheetData>
    <row r="2" spans="2:11" ht="15.75" x14ac:dyDescent="0.25">
      <c r="B2" s="461" t="s">
        <v>247</v>
      </c>
      <c r="C2" s="461"/>
      <c r="D2" s="461"/>
      <c r="E2" s="461"/>
      <c r="F2" s="461"/>
      <c r="G2" s="461"/>
      <c r="H2" s="461"/>
      <c r="I2" s="461"/>
      <c r="J2" s="461"/>
      <c r="K2" s="461"/>
    </row>
    <row r="3" spans="2:11" ht="5.0999999999999996" customHeight="1" x14ac:dyDescent="0.2">
      <c r="B3" s="475"/>
      <c r="C3" s="475"/>
      <c r="D3" s="475"/>
      <c r="E3" s="475"/>
      <c r="F3" s="475"/>
      <c r="G3" s="475"/>
      <c r="H3" s="475"/>
      <c r="I3" s="475"/>
      <c r="J3" s="475"/>
      <c r="K3" s="475"/>
    </row>
    <row r="4" spans="2:11" ht="12.95" customHeight="1" x14ac:dyDescent="0.2">
      <c r="B4" s="105"/>
      <c r="C4" s="80" t="s">
        <v>34</v>
      </c>
      <c r="D4" s="80" t="s">
        <v>23</v>
      </c>
      <c r="E4" s="80"/>
      <c r="F4" s="474"/>
      <c r="G4" s="474"/>
      <c r="H4" s="474"/>
      <c r="I4" s="474"/>
      <c r="J4" s="474"/>
      <c r="K4" s="474"/>
    </row>
    <row r="5" spans="2:11" ht="12.95" customHeight="1" x14ac:dyDescent="0.2">
      <c r="B5" s="4" t="s">
        <v>418</v>
      </c>
      <c r="C5" s="245">
        <f>Corn!I30</f>
        <v>0.25</v>
      </c>
      <c r="D5" s="245">
        <f>Soybeans!I30</f>
        <v>0.1</v>
      </c>
      <c r="E5" s="245"/>
      <c r="F5" s="429" t="s">
        <v>421</v>
      </c>
      <c r="G5" s="474"/>
      <c r="H5" s="474"/>
      <c r="I5" s="474"/>
      <c r="J5" s="474"/>
      <c r="K5" s="474"/>
    </row>
    <row r="6" spans="2:11" ht="12.95" customHeight="1" x14ac:dyDescent="0.2">
      <c r="B6" s="4" t="s">
        <v>248</v>
      </c>
      <c r="C6" s="251">
        <v>3</v>
      </c>
      <c r="D6" s="251">
        <v>3</v>
      </c>
      <c r="E6" s="246"/>
      <c r="F6" s="474" t="s">
        <v>249</v>
      </c>
      <c r="G6" s="474"/>
      <c r="H6" s="474"/>
      <c r="I6" s="474"/>
      <c r="J6" s="474"/>
      <c r="K6" s="474"/>
    </row>
    <row r="7" spans="2:11" ht="12.95" customHeight="1" x14ac:dyDescent="0.2">
      <c r="B7" s="4" t="s">
        <v>369</v>
      </c>
      <c r="C7" s="252">
        <v>7.0000000000000007E-2</v>
      </c>
      <c r="D7" s="252">
        <v>7.0000000000000007E-2</v>
      </c>
      <c r="E7" s="247"/>
      <c r="F7" s="429" t="s">
        <v>401</v>
      </c>
      <c r="G7" s="474"/>
      <c r="H7" s="474"/>
      <c r="I7" s="474"/>
      <c r="J7" s="474"/>
      <c r="K7" s="474"/>
    </row>
    <row r="8" spans="2:11" x14ac:dyDescent="0.2">
      <c r="C8" s="231"/>
      <c r="E8" s="248"/>
      <c r="F8" s="283"/>
      <c r="G8" s="248"/>
      <c r="H8" s="248"/>
      <c r="I8" s="248"/>
      <c r="J8" s="248"/>
    </row>
    <row r="9" spans="2:11" ht="12.95" customHeight="1" x14ac:dyDescent="0.2">
      <c r="C9" s="80" t="s">
        <v>285</v>
      </c>
      <c r="D9" s="9" t="s">
        <v>23</v>
      </c>
    </row>
    <row r="10" spans="2:11" ht="12.95" customHeight="1" x14ac:dyDescent="0.2">
      <c r="B10" s="249"/>
      <c r="C10" s="105" t="s">
        <v>230</v>
      </c>
      <c r="D10" s="309" t="s">
        <v>230</v>
      </c>
      <c r="F10" s="250" t="str">
        <f>IF(AND(Corn!D30=Corn!C65,Soybeans!D30=Soybeans!C67),B39,IF(Corn!D30=Corn!C65,B37,IF(Soybeans!D30=Soybeans!C67,B38,"")))</f>
        <v/>
      </c>
    </row>
    <row r="11" spans="2:11" ht="12.95" customHeight="1" x14ac:dyDescent="0.2">
      <c r="B11" s="19" t="s">
        <v>288</v>
      </c>
      <c r="C11" s="253">
        <v>0.1</v>
      </c>
      <c r="D11" s="253">
        <v>0.1</v>
      </c>
      <c r="F11" s="224" t="s">
        <v>286</v>
      </c>
    </row>
    <row r="12" spans="2:11" ht="12.95" customHeight="1" x14ac:dyDescent="0.2">
      <c r="B12" s="19" t="s">
        <v>310</v>
      </c>
      <c r="C12" s="79">
        <f>((Corn!J6*C5)*C7*(C6/12))/(Corn!E6*C5)</f>
        <v>9.4500000000000028E-2</v>
      </c>
      <c r="D12" s="79">
        <f>((Soybeans!J6*D5)*D7*(D6/12))/(Soybeans!E6*D5)</f>
        <v>0.22312500000000005</v>
      </c>
    </row>
    <row r="13" spans="2:11" ht="12.95" customHeight="1" x14ac:dyDescent="0.2">
      <c r="B13" s="19" t="s">
        <v>289</v>
      </c>
      <c r="C13" s="253">
        <v>0.02</v>
      </c>
      <c r="D13" s="253">
        <v>0.02</v>
      </c>
      <c r="F13" s="224" t="s">
        <v>290</v>
      </c>
    </row>
    <row r="14" spans="2:11" ht="12.95" customHeight="1" x14ac:dyDescent="0.2">
      <c r="B14" s="4" t="s">
        <v>250</v>
      </c>
      <c r="C14" s="253">
        <v>0.01</v>
      </c>
      <c r="D14" s="253">
        <v>0.01</v>
      </c>
    </row>
    <row r="15" spans="2:11" ht="12.95" customHeight="1" x14ac:dyDescent="0.2">
      <c r="B15" s="4" t="s">
        <v>251</v>
      </c>
      <c r="C15" s="253">
        <v>0.02</v>
      </c>
      <c r="D15" s="253">
        <v>0.02</v>
      </c>
    </row>
    <row r="16" spans="2:11" ht="12.95" customHeight="1" x14ac:dyDescent="0.2">
      <c r="B16" s="4" t="s">
        <v>228</v>
      </c>
      <c r="C16" s="253">
        <v>0.05</v>
      </c>
      <c r="D16" s="253">
        <v>0.05</v>
      </c>
    </row>
    <row r="17" spans="2:6" ht="12.95" customHeight="1" x14ac:dyDescent="0.2">
      <c r="B17" s="19" t="s">
        <v>287</v>
      </c>
      <c r="C17" s="253">
        <v>0.03</v>
      </c>
      <c r="D17" s="253">
        <v>0.03</v>
      </c>
      <c r="F17" s="224" t="s">
        <v>311</v>
      </c>
    </row>
    <row r="18" spans="2:6" ht="5.0999999999999996" customHeight="1" x14ac:dyDescent="0.2">
      <c r="B18" s="474"/>
      <c r="C18" s="474"/>
      <c r="D18" s="474"/>
    </row>
    <row r="19" spans="2:6" ht="12.95" customHeight="1" x14ac:dyDescent="0.2">
      <c r="B19" s="473" t="s">
        <v>252</v>
      </c>
      <c r="C19" s="473"/>
      <c r="D19" s="473"/>
    </row>
    <row r="20" spans="2:6" ht="12.95" customHeight="1" x14ac:dyDescent="0.2">
      <c r="B20" s="4" t="s">
        <v>253</v>
      </c>
      <c r="C20" s="79">
        <f>SUM(C11:C17)</f>
        <v>0.32450000000000001</v>
      </c>
      <c r="D20" s="79">
        <f>SUM(D11:D17)</f>
        <v>0.45312500000000011</v>
      </c>
    </row>
    <row r="21" spans="2:6" ht="12.95" customHeight="1" x14ac:dyDescent="0.2">
      <c r="B21" s="4" t="s">
        <v>254</v>
      </c>
      <c r="C21" s="79">
        <f>C20*(Corn!E6*C5)</f>
        <v>13.79125</v>
      </c>
      <c r="D21" s="79">
        <f>D20*(Soybeans!E6*D5)</f>
        <v>2.4468750000000008</v>
      </c>
    </row>
    <row r="22" spans="2:6" x14ac:dyDescent="0.2">
      <c r="C22" s="13"/>
    </row>
    <row r="37" spans="2:2" hidden="1" x14ac:dyDescent="0.2">
      <c r="B37" s="15" t="s">
        <v>327</v>
      </c>
    </row>
    <row r="38" spans="2:2" hidden="1" x14ac:dyDescent="0.2">
      <c r="B38" s="15" t="s">
        <v>317</v>
      </c>
    </row>
    <row r="39" spans="2:2" hidden="1" x14ac:dyDescent="0.2">
      <c r="B39" s="15" t="s">
        <v>318</v>
      </c>
    </row>
  </sheetData>
  <sheetProtection algorithmName="SHA-512" hashValue="J6Na3wSMICU0FqhWeW+oVV4NYwoy1P7q2DqTn6G2MWbv1IfHRpR8h3pbzSuw5Ql6Iq7e+KLlE4nvyp+pyaq5Vw==" saltValue="5n5mp6lQSmCr6evY2+OjPA==" spinCount="100000" sheet="1" objects="1" scenarios="1" formatCells="0" formatColumns="0" formatRows="0"/>
  <mergeCells count="8">
    <mergeCell ref="B19:D19"/>
    <mergeCell ref="B18:D18"/>
    <mergeCell ref="B3:K3"/>
    <mergeCell ref="B2:K2"/>
    <mergeCell ref="F7:K7"/>
    <mergeCell ref="F6:K6"/>
    <mergeCell ref="F5:K5"/>
    <mergeCell ref="F4:K4"/>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415" id="{145EEC05-2498-4CD0-B56C-FE309FDF3AF9}">
            <xm:f>Corn!$D$30=Corn!$C$65</xm:f>
            <x14:dxf>
              <font>
                <color theme="0"/>
              </font>
            </x14:dxf>
          </x14:cfRule>
          <xm:sqref>C5:C7 C11:C17 C20:C21</xm:sqref>
        </x14:conditionalFormatting>
        <x14:conditionalFormatting xmlns:xm="http://schemas.microsoft.com/office/excel/2006/main">
          <x14:cfRule type="expression" priority="370" id="{041651BB-CD96-4B3C-94BA-5F26B4DD5D40}">
            <xm:f>Soybeans!$D$30=Soybeans!$C$67</xm:f>
            <x14:dxf>
              <font>
                <color theme="0"/>
              </font>
            </x14:dxf>
          </x14:cfRule>
          <xm:sqref>D5:D7 D11:D17 D20:D21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43"/>
  <sheetViews>
    <sheetView showGridLines="0" workbookViewId="0">
      <selection activeCell="B2" sqref="B2:G2"/>
    </sheetView>
  </sheetViews>
  <sheetFormatPr defaultColWidth="9.140625" defaultRowHeight="12.75" x14ac:dyDescent="0.2"/>
  <cols>
    <col min="1" max="2" width="3.7109375" customWidth="1"/>
    <col min="3" max="6" width="10.7109375" customWidth="1"/>
    <col min="7" max="7" width="20.7109375" customWidth="1"/>
    <col min="8" max="8" width="3.7109375" customWidth="1"/>
    <col min="9" max="17" width="10.7109375" customWidth="1"/>
  </cols>
  <sheetData>
    <row r="2" spans="2:14" ht="15.75" x14ac:dyDescent="0.25">
      <c r="B2" s="461" t="str">
        <f>Corn!B2</f>
        <v>No-Till Corn, Per Acre Costs and Returns</v>
      </c>
      <c r="C2" s="479"/>
      <c r="D2" s="479"/>
      <c r="E2" s="479"/>
      <c r="F2" s="479"/>
      <c r="G2" s="479"/>
    </row>
    <row r="3" spans="2:14" ht="5.0999999999999996" customHeight="1" x14ac:dyDescent="0.2">
      <c r="B3" s="475"/>
      <c r="C3" s="475"/>
      <c r="D3" s="475"/>
      <c r="E3" s="475"/>
      <c r="F3" s="475"/>
      <c r="G3" s="475"/>
    </row>
    <row r="4" spans="2:14" ht="12.95" customHeight="1" x14ac:dyDescent="0.2">
      <c r="B4" s="254" t="s">
        <v>54</v>
      </c>
      <c r="C4" s="255"/>
      <c r="D4" s="255"/>
      <c r="E4" s="255"/>
      <c r="F4" s="255"/>
      <c r="G4" s="3" t="s">
        <v>5</v>
      </c>
      <c r="L4" s="256"/>
    </row>
    <row r="5" spans="2:14" ht="12.95" customHeight="1" x14ac:dyDescent="0.2">
      <c r="B5" s="4"/>
      <c r="C5" s="4" t="s">
        <v>34</v>
      </c>
      <c r="D5" s="32">
        <f>Corn!E6</f>
        <v>170</v>
      </c>
      <c r="E5" s="105" t="str">
        <f>Corn!F6</f>
        <v>bu</v>
      </c>
      <c r="F5" s="79">
        <f>Corn!G6</f>
        <v>5.4</v>
      </c>
      <c r="G5" s="295">
        <f>Corn!J6</f>
        <v>918.00000000000011</v>
      </c>
      <c r="I5" s="257"/>
      <c r="L5" s="258"/>
      <c r="M5" s="259"/>
    </row>
    <row r="6" spans="2:14" ht="12.95" customHeight="1" x14ac:dyDescent="0.2">
      <c r="B6" s="4"/>
      <c r="C6" s="429" t="s">
        <v>158</v>
      </c>
      <c r="D6" s="429"/>
      <c r="E6" s="429"/>
      <c r="F6" s="429"/>
      <c r="G6" s="295">
        <f>Corn!J7</f>
        <v>0</v>
      </c>
    </row>
    <row r="7" spans="2:14" ht="12.95" customHeight="1" x14ac:dyDescent="0.2">
      <c r="B7" s="4"/>
      <c r="C7" s="429" t="s">
        <v>157</v>
      </c>
      <c r="D7" s="429"/>
      <c r="E7" s="429"/>
      <c r="F7" s="429"/>
      <c r="G7" s="296">
        <f>Corn!J8</f>
        <v>5</v>
      </c>
    </row>
    <row r="8" spans="2:14" ht="12.95" customHeight="1" x14ac:dyDescent="0.2">
      <c r="B8" s="473" t="s">
        <v>74</v>
      </c>
      <c r="C8" s="473"/>
      <c r="D8" s="473"/>
      <c r="E8" s="473"/>
      <c r="F8" s="473"/>
      <c r="G8" s="220">
        <f>SUM(G5:G7)</f>
        <v>923.00000000000011</v>
      </c>
      <c r="I8" s="224"/>
    </row>
    <row r="9" spans="2:14" ht="5.0999999999999996" customHeight="1" x14ac:dyDescent="0.2">
      <c r="B9" s="475"/>
      <c r="C9" s="475"/>
      <c r="D9" s="475"/>
      <c r="E9" s="475"/>
      <c r="F9" s="475"/>
      <c r="G9" s="475"/>
    </row>
    <row r="10" spans="2:14" ht="12.95" customHeight="1" x14ac:dyDescent="0.2">
      <c r="B10" s="254" t="s">
        <v>56</v>
      </c>
      <c r="C10" s="255"/>
      <c r="D10" s="255"/>
      <c r="E10" s="255"/>
      <c r="F10" s="255"/>
      <c r="G10" s="3" t="s">
        <v>5</v>
      </c>
    </row>
    <row r="11" spans="2:14" ht="12.95" customHeight="1" x14ac:dyDescent="0.2">
      <c r="B11" s="4"/>
      <c r="C11" s="474" t="s">
        <v>57</v>
      </c>
      <c r="D11" s="474"/>
      <c r="E11" s="474"/>
      <c r="F11" s="474"/>
      <c r="G11" s="295">
        <f>Corn!J12</f>
        <v>100.7</v>
      </c>
      <c r="I11" s="224"/>
    </row>
    <row r="12" spans="2:14" ht="12.95" customHeight="1" x14ac:dyDescent="0.2">
      <c r="B12" s="4"/>
      <c r="C12" s="429" t="s">
        <v>416</v>
      </c>
      <c r="D12" s="474"/>
      <c r="E12" s="474"/>
      <c r="F12" s="474"/>
      <c r="G12" s="295">
        <f>Corn!J13</f>
        <v>110.5</v>
      </c>
      <c r="I12" s="224"/>
    </row>
    <row r="13" spans="2:14" ht="12.95" customHeight="1" x14ac:dyDescent="0.2">
      <c r="B13" s="4"/>
      <c r="C13" s="429" t="s">
        <v>417</v>
      </c>
      <c r="D13" s="474"/>
      <c r="E13" s="474"/>
      <c r="F13" s="474"/>
      <c r="G13" s="295">
        <f>SUM(Corn!J14:J17)</f>
        <v>84</v>
      </c>
      <c r="I13" s="224"/>
    </row>
    <row r="14" spans="2:14" ht="12.95" customHeight="1" x14ac:dyDescent="0.2">
      <c r="B14" s="4"/>
      <c r="C14" s="474" t="s">
        <v>321</v>
      </c>
      <c r="D14" s="474"/>
      <c r="E14" s="474"/>
      <c r="F14" s="474"/>
      <c r="G14" s="295">
        <f>SUM(Corn!J18:J20)</f>
        <v>85</v>
      </c>
    </row>
    <row r="15" spans="2:14" ht="12.95" customHeight="1" x14ac:dyDescent="0.2">
      <c r="B15" s="4"/>
      <c r="C15" s="474" t="s">
        <v>322</v>
      </c>
      <c r="D15" s="474"/>
      <c r="E15" s="474"/>
      <c r="F15" s="474"/>
      <c r="G15" s="295">
        <f>SUM(Corn!J21:J22,Corn!J25,Corn!J28)</f>
        <v>58.701556582989639</v>
      </c>
      <c r="I15" s="224" t="s">
        <v>338</v>
      </c>
      <c r="N15" s="15"/>
    </row>
    <row r="16" spans="2:14" ht="12.95" customHeight="1" x14ac:dyDescent="0.2">
      <c r="B16" s="4"/>
      <c r="C16" s="474" t="s">
        <v>323</v>
      </c>
      <c r="D16" s="474"/>
      <c r="E16" s="474"/>
      <c r="F16" s="474"/>
      <c r="G16" s="295">
        <f>SUM(Corn!J23:J24)</f>
        <v>38.323464706669284</v>
      </c>
      <c r="I16" s="224" t="s">
        <v>337</v>
      </c>
    </row>
    <row r="17" spans="2:7" ht="12.95" customHeight="1" x14ac:dyDescent="0.2">
      <c r="B17" s="4"/>
      <c r="C17" s="429" t="s">
        <v>280</v>
      </c>
      <c r="D17" s="429"/>
      <c r="E17" s="429"/>
      <c r="F17" s="474"/>
      <c r="G17" s="295">
        <f>SUM(Corn!J26:J27)</f>
        <v>0</v>
      </c>
    </row>
    <row r="18" spans="2:7" ht="12.95" customHeight="1" x14ac:dyDescent="0.2">
      <c r="B18" s="4"/>
      <c r="C18" s="474" t="s">
        <v>148</v>
      </c>
      <c r="D18" s="474"/>
      <c r="E18" s="474"/>
      <c r="F18" s="474"/>
      <c r="G18" s="295">
        <f>Corn!J29</f>
        <v>21.26559633027523</v>
      </c>
    </row>
    <row r="19" spans="2:7" ht="12.95" customHeight="1" x14ac:dyDescent="0.2">
      <c r="B19" s="4"/>
      <c r="C19" s="474" t="s">
        <v>215</v>
      </c>
      <c r="D19" s="474"/>
      <c r="E19" s="474"/>
      <c r="F19" s="474"/>
      <c r="G19" s="295">
        <f>Corn!J30</f>
        <v>13.79125</v>
      </c>
    </row>
    <row r="20" spans="2:7" ht="12.95" customHeight="1" x14ac:dyDescent="0.2">
      <c r="B20" s="4"/>
      <c r="C20" s="474" t="s">
        <v>324</v>
      </c>
      <c r="D20" s="474"/>
      <c r="E20" s="474"/>
      <c r="F20" s="474"/>
      <c r="G20" s="295">
        <f>Corn!J31</f>
        <v>25</v>
      </c>
    </row>
    <row r="21" spans="2:7" ht="12.95" customHeight="1" x14ac:dyDescent="0.2">
      <c r="B21" s="4"/>
      <c r="C21" s="474" t="s">
        <v>242</v>
      </c>
      <c r="D21" s="474"/>
      <c r="E21" s="474"/>
      <c r="F21" s="474"/>
      <c r="G21" s="295">
        <f>Corn!J32</f>
        <v>200</v>
      </c>
    </row>
    <row r="22" spans="2:7" ht="12.95" customHeight="1" x14ac:dyDescent="0.2">
      <c r="B22" s="4"/>
      <c r="C22" s="460" t="s">
        <v>333</v>
      </c>
      <c r="D22" s="430"/>
      <c r="E22" s="430"/>
      <c r="F22" s="431"/>
      <c r="G22" s="295">
        <f>Corn!J33</f>
        <v>0</v>
      </c>
    </row>
    <row r="23" spans="2:7" ht="12.95" customHeight="1" x14ac:dyDescent="0.2">
      <c r="B23" s="4"/>
      <c r="C23" s="474" t="s">
        <v>150</v>
      </c>
      <c r="D23" s="474"/>
      <c r="E23" s="474"/>
      <c r="F23" s="474"/>
      <c r="G23" s="295">
        <f>Corn!J34</f>
        <v>10</v>
      </c>
    </row>
    <row r="24" spans="2:7" ht="12.95" customHeight="1" x14ac:dyDescent="0.2">
      <c r="B24" s="4"/>
      <c r="C24" s="474" t="s">
        <v>61</v>
      </c>
      <c r="D24" s="474"/>
      <c r="E24" s="474"/>
      <c r="F24" s="474"/>
      <c r="G24" s="296">
        <f>Corn!J35</f>
        <v>23.218412679395716</v>
      </c>
    </row>
    <row r="25" spans="2:7" ht="12.95" customHeight="1" x14ac:dyDescent="0.2">
      <c r="B25" s="473" t="s">
        <v>63</v>
      </c>
      <c r="C25" s="473"/>
      <c r="D25" s="473"/>
      <c r="E25" s="473"/>
      <c r="F25" s="473"/>
      <c r="G25" s="220">
        <f>SUM(G11:G24)</f>
        <v>770.5002802993298</v>
      </c>
    </row>
    <row r="26" spans="2:7" ht="5.0999999999999996" customHeight="1" x14ac:dyDescent="0.2">
      <c r="B26" s="475"/>
      <c r="C26" s="475"/>
      <c r="D26" s="475"/>
      <c r="E26" s="475"/>
      <c r="F26" s="475"/>
      <c r="G26" s="475"/>
    </row>
    <row r="27" spans="2:7" ht="15.75" x14ac:dyDescent="0.25">
      <c r="B27" s="480" t="s">
        <v>64</v>
      </c>
      <c r="C27" s="481"/>
      <c r="D27" s="481"/>
      <c r="E27" s="481"/>
      <c r="F27" s="481"/>
      <c r="G27" s="297">
        <f>G8-G25</f>
        <v>152.49971970067031</v>
      </c>
    </row>
    <row r="28" spans="2:7" ht="12.95" customHeight="1" x14ac:dyDescent="0.2">
      <c r="B28" s="475"/>
      <c r="C28" s="475"/>
      <c r="D28" s="475"/>
      <c r="E28" s="475"/>
      <c r="F28" s="475"/>
      <c r="G28" s="475"/>
    </row>
    <row r="29" spans="2:7" ht="12.95" customHeight="1" x14ac:dyDescent="0.2">
      <c r="B29" s="254" t="s">
        <v>65</v>
      </c>
      <c r="C29" s="255"/>
      <c r="D29" s="255"/>
      <c r="E29" s="255"/>
      <c r="F29" s="255"/>
      <c r="G29" s="3" t="s">
        <v>5</v>
      </c>
    </row>
    <row r="30" spans="2:7" ht="12.95" customHeight="1" x14ac:dyDescent="0.2">
      <c r="B30" s="4"/>
      <c r="C30" s="474" t="s">
        <v>325</v>
      </c>
      <c r="D30" s="474"/>
      <c r="E30" s="474"/>
      <c r="F30" s="474"/>
      <c r="G30" s="295">
        <f>Corn!J41</f>
        <v>0</v>
      </c>
    </row>
    <row r="31" spans="2:7" ht="12.95" customHeight="1" x14ac:dyDescent="0.2">
      <c r="B31" s="4"/>
      <c r="C31" s="429" t="s">
        <v>326</v>
      </c>
      <c r="D31" s="429"/>
      <c r="E31" s="429"/>
      <c r="F31" s="474"/>
      <c r="G31" s="295">
        <f>Corn!J42</f>
        <v>62.295990503204649</v>
      </c>
    </row>
    <row r="32" spans="2:7" ht="12.95" customHeight="1" x14ac:dyDescent="0.2">
      <c r="B32" s="4"/>
      <c r="C32" s="474" t="s">
        <v>149</v>
      </c>
      <c r="D32" s="474"/>
      <c r="E32" s="474"/>
      <c r="F32" s="474"/>
      <c r="G32" s="296">
        <f>SUM(Corn!J43:J44)</f>
        <v>15</v>
      </c>
    </row>
    <row r="33" spans="2:9" ht="15.75" x14ac:dyDescent="0.25">
      <c r="B33" s="480" t="s">
        <v>66</v>
      </c>
      <c r="C33" s="481"/>
      <c r="D33" s="481"/>
      <c r="E33" s="481"/>
      <c r="F33" s="481"/>
      <c r="G33" s="297">
        <f>G27-(SUM(G30:G32))</f>
        <v>75.203729197465663</v>
      </c>
    </row>
    <row r="34" spans="2:9" ht="12.95" customHeight="1" x14ac:dyDescent="0.2">
      <c r="B34" s="475"/>
      <c r="C34" s="475"/>
      <c r="D34" s="475"/>
      <c r="E34" s="475"/>
      <c r="F34" s="475"/>
      <c r="G34" s="475"/>
    </row>
    <row r="35" spans="2:9" ht="15.75" x14ac:dyDescent="0.25">
      <c r="B35" s="476" t="str">
        <f>"Breakeven Yield: Variable Costs at " &amp; TEXT(Corn!G6,"$0.00") &amp;" /bushel"</f>
        <v>Breakeven Yield: Variable Costs at $5.40 /bushel</v>
      </c>
      <c r="C35" s="477"/>
      <c r="D35" s="477"/>
      <c r="E35" s="477"/>
      <c r="F35" s="478"/>
      <c r="G35" s="298">
        <f>Corn!E47</f>
        <v>142.68523709246847</v>
      </c>
      <c r="H35" s="248"/>
      <c r="I35" s="260" t="s">
        <v>422</v>
      </c>
    </row>
    <row r="36" spans="2:9" ht="15.75" x14ac:dyDescent="0.25">
      <c r="B36" s="476" t="str">
        <f>"Breakeven Price: Variable Costs at " &amp; ROUND(Corn!E6,0) &amp;" bu/acre"</f>
        <v>Breakeven Price: Variable Costs at 170 bu/acre</v>
      </c>
      <c r="C36" s="477"/>
      <c r="D36" s="477"/>
      <c r="E36" s="477"/>
      <c r="F36" s="478"/>
      <c r="G36" s="299">
        <f>Corn!E48</f>
        <v>4.532354589996058</v>
      </c>
      <c r="H36" s="248"/>
      <c r="I36" s="260" t="s">
        <v>427</v>
      </c>
    </row>
    <row r="37" spans="2:9" ht="15.75" x14ac:dyDescent="0.25">
      <c r="B37" s="476" t="str">
        <f>"Breakeven Price: All Costs at " &amp; ROUND(Corn!E6,0) &amp;" bu/acre"</f>
        <v>Breakeven Price: All Costs at 170 bu/acre</v>
      </c>
      <c r="C37" s="477"/>
      <c r="D37" s="477"/>
      <c r="E37" s="477"/>
      <c r="F37" s="478"/>
      <c r="G37" s="299">
        <f>Corn!E49</f>
        <v>4.9870368870737316</v>
      </c>
      <c r="H37" s="248"/>
      <c r="I37" s="260" t="s">
        <v>428</v>
      </c>
    </row>
    <row r="38" spans="2:9" x14ac:dyDescent="0.2">
      <c r="B38" s="483"/>
      <c r="C38" s="483"/>
      <c r="D38" s="483"/>
      <c r="E38" s="483"/>
      <c r="F38" s="483"/>
      <c r="G38" s="483"/>
    </row>
    <row r="39" spans="2:9" x14ac:dyDescent="0.2">
      <c r="B39" s="484"/>
      <c r="C39" s="484"/>
      <c r="D39" s="484"/>
      <c r="E39" s="484"/>
      <c r="F39" s="484"/>
      <c r="G39" s="484"/>
    </row>
    <row r="40" spans="2:9" ht="14.25" x14ac:dyDescent="0.2">
      <c r="B40" s="482"/>
      <c r="C40" s="483"/>
      <c r="D40" s="483"/>
      <c r="E40" s="483"/>
      <c r="F40" s="483"/>
      <c r="G40" s="483"/>
    </row>
    <row r="41" spans="2:9" ht="14.25" x14ac:dyDescent="0.2">
      <c r="B41" s="482"/>
      <c r="C41" s="483"/>
      <c r="D41" s="483"/>
      <c r="E41" s="483"/>
      <c r="F41" s="483"/>
      <c r="G41" s="483"/>
    </row>
    <row r="42" spans="2:9" ht="14.25" x14ac:dyDescent="0.2">
      <c r="B42" s="482"/>
      <c r="C42" s="483"/>
      <c r="D42" s="483"/>
      <c r="E42" s="483"/>
      <c r="F42" s="483"/>
      <c r="G42" s="483"/>
    </row>
    <row r="43" spans="2:9" ht="14.25" x14ac:dyDescent="0.2">
      <c r="B43" s="482"/>
      <c r="C43" s="483"/>
      <c r="D43" s="483"/>
      <c r="E43" s="483"/>
      <c r="F43" s="483"/>
      <c r="G43" s="483"/>
    </row>
  </sheetData>
  <sheetProtection algorithmName="SHA-512" hashValue="DIWrPNjS6HyToNhR0Rr0goAosZD6V724oimSwOfoXJbisniuh0eK+OcB6YKFanpU0VIBfuWMsDlD4nJVm/uR7w==" saltValue="DTqCCnafu6gCaKl3Z71dEQ==" spinCount="100000" sheet="1" objects="1" scenarios="1" formatCells="0" formatColumns="0" formatRows="0"/>
  <mergeCells count="38">
    <mergeCell ref="C31:F31"/>
    <mergeCell ref="C19:F19"/>
    <mergeCell ref="B28:G28"/>
    <mergeCell ref="C13:F13"/>
    <mergeCell ref="B43:G43"/>
    <mergeCell ref="B36:F36"/>
    <mergeCell ref="B39:G39"/>
    <mergeCell ref="B40:G40"/>
    <mergeCell ref="B41:G41"/>
    <mergeCell ref="B42:G42"/>
    <mergeCell ref="B38:G38"/>
    <mergeCell ref="B37:F37"/>
    <mergeCell ref="C32:F32"/>
    <mergeCell ref="B33:F33"/>
    <mergeCell ref="B34:G34"/>
    <mergeCell ref="C20:F20"/>
    <mergeCell ref="C22:F22"/>
    <mergeCell ref="B25:F25"/>
    <mergeCell ref="B26:G26"/>
    <mergeCell ref="C24:F24"/>
    <mergeCell ref="B27:F27"/>
    <mergeCell ref="C23:F23"/>
    <mergeCell ref="C30:F30"/>
    <mergeCell ref="B35:F35"/>
    <mergeCell ref="B2:G2"/>
    <mergeCell ref="B3:G3"/>
    <mergeCell ref="C21:F21"/>
    <mergeCell ref="C7:F7"/>
    <mergeCell ref="B8:F8"/>
    <mergeCell ref="B9:G9"/>
    <mergeCell ref="C6:F6"/>
    <mergeCell ref="C14:F14"/>
    <mergeCell ref="C15:F15"/>
    <mergeCell ref="C11:F11"/>
    <mergeCell ref="C12:F12"/>
    <mergeCell ref="C16:F16"/>
    <mergeCell ref="C17:F17"/>
    <mergeCell ref="C18:F18"/>
  </mergeCells>
  <dataValidations count="1">
    <dataValidation type="list" allowBlank="1" showInputMessage="1" showErrorMessage="1" sqref="F19 F21" xr:uid="{00000000-0002-0000-0600-000000000000}">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16" id="{AE26CBF1-CD4B-42B5-85E7-3E38CFCC24FA}">
            <xm:f>Corn!$C$86=Corn!$C$83</xm:f>
            <x14:dxf>
              <font>
                <color theme="0"/>
              </font>
            </x14:dxf>
          </x14:cfRule>
          <xm:sqref>C17:G17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V94"/>
  <sheetViews>
    <sheetView showGridLines="0" zoomScaleNormal="100" workbookViewId="0">
      <selection activeCell="E11" sqref="E11:J11"/>
    </sheetView>
  </sheetViews>
  <sheetFormatPr defaultColWidth="9.140625" defaultRowHeight="12.75" x14ac:dyDescent="0.2"/>
  <cols>
    <col min="1" max="2" width="3.7109375" style="149" customWidth="1"/>
    <col min="3" max="4" width="16.7109375" style="149" customWidth="1"/>
    <col min="5" max="5" width="8.7109375" style="149" customWidth="1"/>
    <col min="6" max="6" width="9.5703125" style="149" customWidth="1"/>
    <col min="7" max="7" width="8.7109375" style="149" customWidth="1"/>
    <col min="8" max="8" width="13.7109375" style="149" customWidth="1"/>
    <col min="9" max="9" width="5.7109375" style="149" customWidth="1"/>
    <col min="10" max="10" width="9.28515625" style="149" customWidth="1"/>
    <col min="11" max="11" width="3.7109375" style="149" customWidth="1"/>
    <col min="12" max="12" width="5.7109375" style="149" customWidth="1"/>
    <col min="13" max="13" width="19.85546875" style="149" customWidth="1"/>
    <col min="14" max="18" width="8.7109375" style="149" customWidth="1"/>
    <col min="19" max="19" width="10.28515625" style="149" customWidth="1"/>
    <col min="20" max="21" width="6.7109375" style="149" customWidth="1"/>
    <col min="22" max="16384" width="9.140625" style="149"/>
  </cols>
  <sheetData>
    <row r="2" spans="2:22" ht="15.75" x14ac:dyDescent="0.2">
      <c r="B2" s="349" t="str">
        <f>'Machinery(Soybeans)'!C16&amp; " Soybeans, Per Acre Costs and Returns"</f>
        <v>No-Till Soybeans, Per Acre Costs and Returns</v>
      </c>
      <c r="C2" s="350"/>
      <c r="D2" s="350"/>
      <c r="E2" s="350"/>
      <c r="F2" s="350"/>
      <c r="G2" s="350"/>
      <c r="H2" s="350"/>
      <c r="I2" s="350"/>
      <c r="J2" s="350"/>
      <c r="L2" s="149" t="s">
        <v>75</v>
      </c>
    </row>
    <row r="3" spans="2:22" ht="5.25" customHeight="1" x14ac:dyDescent="0.2">
      <c r="B3" s="343"/>
      <c r="C3" s="344"/>
      <c r="D3" s="344"/>
      <c r="E3" s="344"/>
      <c r="F3" s="344"/>
      <c r="G3" s="344"/>
      <c r="H3" s="344"/>
      <c r="I3" s="344"/>
      <c r="J3" s="345"/>
    </row>
    <row r="4" spans="2:22" s="305" customFormat="1" ht="12.95" customHeight="1" x14ac:dyDescent="0.2">
      <c r="B4" s="261"/>
      <c r="C4" s="491"/>
      <c r="D4" s="492"/>
      <c r="E4" s="187" t="s">
        <v>135</v>
      </c>
      <c r="F4" s="187" t="s">
        <v>52</v>
      </c>
      <c r="G4" s="187" t="s">
        <v>53</v>
      </c>
      <c r="H4" s="351"/>
      <c r="I4" s="352"/>
      <c r="J4" s="187" t="s">
        <v>5</v>
      </c>
      <c r="L4" s="132"/>
    </row>
    <row r="5" spans="2:22" ht="12.95" customHeight="1" x14ac:dyDescent="0.2">
      <c r="B5" s="346" t="s">
        <v>54</v>
      </c>
      <c r="C5" s="347"/>
      <c r="D5" s="348"/>
      <c r="E5" s="485"/>
      <c r="F5" s="341"/>
      <c r="G5" s="341"/>
      <c r="H5" s="341"/>
      <c r="I5" s="341"/>
      <c r="J5" s="342"/>
    </row>
    <row r="6" spans="2:22" ht="12.95" customHeight="1" x14ac:dyDescent="0.2">
      <c r="B6" s="152"/>
      <c r="C6" s="332" t="s">
        <v>23</v>
      </c>
      <c r="D6" s="333"/>
      <c r="E6" s="121">
        <v>54</v>
      </c>
      <c r="F6" s="152" t="s">
        <v>55</v>
      </c>
      <c r="G6" s="122">
        <v>12.75</v>
      </c>
      <c r="H6" s="331"/>
      <c r="I6" s="331"/>
      <c r="J6" s="153">
        <f>E6*G6</f>
        <v>688.5</v>
      </c>
    </row>
    <row r="7" spans="2:22" ht="12.95" customHeight="1" x14ac:dyDescent="0.2">
      <c r="B7" s="152"/>
      <c r="C7" s="329" t="s">
        <v>158</v>
      </c>
      <c r="D7" s="330"/>
      <c r="E7" s="152">
        <v>1</v>
      </c>
      <c r="F7" s="152" t="s">
        <v>60</v>
      </c>
      <c r="G7" s="122">
        <v>0</v>
      </c>
      <c r="H7" s="353"/>
      <c r="I7" s="354"/>
      <c r="J7" s="154">
        <f>E7*G7</f>
        <v>0</v>
      </c>
    </row>
    <row r="8" spans="2:22" ht="12.95" customHeight="1" x14ac:dyDescent="0.2">
      <c r="B8" s="152"/>
      <c r="C8" s="329" t="s">
        <v>157</v>
      </c>
      <c r="D8" s="330"/>
      <c r="E8" s="152">
        <v>1</v>
      </c>
      <c r="F8" s="152" t="s">
        <v>60</v>
      </c>
      <c r="G8" s="122">
        <v>5</v>
      </c>
      <c r="H8" s="353"/>
      <c r="I8" s="354"/>
      <c r="J8" s="155">
        <f>E8*G8</f>
        <v>5</v>
      </c>
      <c r="L8" s="262"/>
      <c r="N8" s="263"/>
      <c r="O8" s="264"/>
      <c r="P8" s="167"/>
      <c r="Q8" s="264"/>
      <c r="R8" s="264"/>
    </row>
    <row r="9" spans="2:22" ht="12.95" customHeight="1" x14ac:dyDescent="0.2">
      <c r="B9" s="346" t="s">
        <v>74</v>
      </c>
      <c r="C9" s="347"/>
      <c r="D9" s="348"/>
      <c r="E9" s="152"/>
      <c r="F9" s="152"/>
      <c r="G9" s="301"/>
      <c r="H9" s="331"/>
      <c r="I9" s="331"/>
      <c r="J9" s="300">
        <f>SUM(J6:J8)</f>
        <v>693.5</v>
      </c>
    </row>
    <row r="10" spans="2:22" ht="4.5" customHeight="1" x14ac:dyDescent="0.2">
      <c r="B10" s="343"/>
      <c r="C10" s="344"/>
      <c r="D10" s="344"/>
      <c r="E10" s="344"/>
      <c r="F10" s="344"/>
      <c r="G10" s="344"/>
      <c r="H10" s="344"/>
      <c r="I10" s="344"/>
      <c r="J10" s="345"/>
    </row>
    <row r="11" spans="2:22" ht="12.95" customHeight="1" x14ac:dyDescent="0.2">
      <c r="B11" s="346" t="s">
        <v>56</v>
      </c>
      <c r="C11" s="347"/>
      <c r="D11" s="348"/>
      <c r="E11" s="485"/>
      <c r="F11" s="341"/>
      <c r="G11" s="341"/>
      <c r="H11" s="341"/>
      <c r="I11" s="341"/>
      <c r="J11" s="342"/>
      <c r="L11" s="398" t="s">
        <v>374</v>
      </c>
      <c r="M11" s="399"/>
      <c r="N11" s="397" t="s">
        <v>186</v>
      </c>
      <c r="O11" s="397" t="s">
        <v>255</v>
      </c>
      <c r="P11" s="397" t="s">
        <v>256</v>
      </c>
      <c r="Q11" s="397" t="s">
        <v>305</v>
      </c>
      <c r="R11" s="397" t="s">
        <v>304</v>
      </c>
      <c r="S11" s="395"/>
      <c r="T11" s="395"/>
      <c r="U11" s="395"/>
      <c r="V11" s="395"/>
    </row>
    <row r="12" spans="2:22" ht="12.95" customHeight="1" x14ac:dyDescent="0.2">
      <c r="B12" s="152"/>
      <c r="C12" s="329" t="s">
        <v>57</v>
      </c>
      <c r="D12" s="330"/>
      <c r="E12" s="123">
        <v>1</v>
      </c>
      <c r="F12" s="152" t="s">
        <v>58</v>
      </c>
      <c r="G12" s="122">
        <v>70</v>
      </c>
      <c r="H12" s="331"/>
      <c r="I12" s="331"/>
      <c r="J12" s="153">
        <f>E12*G12</f>
        <v>70</v>
      </c>
      <c r="L12" s="400"/>
      <c r="M12" s="498"/>
      <c r="N12" s="397"/>
      <c r="O12" s="397"/>
      <c r="P12" s="397"/>
      <c r="Q12" s="397"/>
      <c r="R12" s="397"/>
      <c r="S12" s="395"/>
      <c r="T12" s="395"/>
      <c r="U12" s="395"/>
      <c r="V12" s="395"/>
    </row>
    <row r="13" spans="2:22" ht="12.95" customHeight="1" thickBot="1" x14ac:dyDescent="0.25">
      <c r="B13" s="152"/>
      <c r="C13" s="325" t="s">
        <v>208</v>
      </c>
      <c r="D13" s="326"/>
      <c r="E13" s="133">
        <v>0</v>
      </c>
      <c r="F13" s="157" t="s">
        <v>156</v>
      </c>
      <c r="G13" s="122">
        <v>0</v>
      </c>
      <c r="H13" s="334" t="s">
        <v>332</v>
      </c>
      <c r="I13" s="335"/>
      <c r="J13" s="153">
        <f t="shared" ref="J13:J20" si="0">E13*G13</f>
        <v>0</v>
      </c>
      <c r="L13" s="190" t="s">
        <v>90</v>
      </c>
      <c r="M13" s="316" t="str">
        <f>Corn!M13</f>
        <v>ANHYDROUS</v>
      </c>
      <c r="N13" s="68" t="s">
        <v>277</v>
      </c>
      <c r="O13" s="93">
        <f>Corn!O13</f>
        <v>1000</v>
      </c>
      <c r="P13" s="160">
        <f>IF(M13=M63,O13/(2000*O63),IF(M13=M64,O13/(2000*O64),IF(M13=M65,O13/(2000*O65),O13/(2000*O66))))</f>
        <v>0.6097560975609756</v>
      </c>
      <c r="Q13" s="187" t="s">
        <v>277</v>
      </c>
      <c r="R13" s="100">
        <f>IF(M14=M71,Q14*O71,IF(M14=M72,Q14*O72,Q14*O73))</f>
        <v>10.799999999999999</v>
      </c>
      <c r="S13" s="92"/>
      <c r="T13" s="307"/>
      <c r="U13" s="307"/>
      <c r="V13" s="307"/>
    </row>
    <row r="14" spans="2:22" ht="12.95" customHeight="1" thickBot="1" x14ac:dyDescent="0.25">
      <c r="B14" s="152"/>
      <c r="C14" s="329" t="s">
        <v>111</v>
      </c>
      <c r="D14" s="330"/>
      <c r="E14" s="121">
        <v>30</v>
      </c>
      <c r="F14" s="152" t="s">
        <v>156</v>
      </c>
      <c r="G14" s="122">
        <v>0.65</v>
      </c>
      <c r="H14" s="336"/>
      <c r="I14" s="337"/>
      <c r="J14" s="153">
        <f t="shared" si="0"/>
        <v>19.5</v>
      </c>
      <c r="L14" s="158" t="s">
        <v>315</v>
      </c>
      <c r="M14" s="312" t="s">
        <v>203</v>
      </c>
      <c r="N14" s="265" t="str">
        <f>IF(M14=M71,S71,IF(M14=M72,S72,S73))</f>
        <v>18-46-0</v>
      </c>
      <c r="O14" s="198">
        <v>800</v>
      </c>
      <c r="P14" s="160">
        <f>IF(M14=M71,(O14-2000*O71*P13)/(2000*Q71),IF(M14=M72,(O14-2000*O72*P13)/(2000*Q72),(O14-2000*O73*P13)/(2000*Q73)))</f>
        <v>0.63096500530222699</v>
      </c>
      <c r="Q14" s="199">
        <v>60</v>
      </c>
      <c r="R14" s="162">
        <f>IF(M14=M71,Q14*Q71,IF(M14=M72,Q14*Q72,Q14*Q73))</f>
        <v>27.6</v>
      </c>
      <c r="S14" s="266"/>
      <c r="T14" s="264"/>
      <c r="U14" s="267"/>
      <c r="V14" s="267"/>
    </row>
    <row r="15" spans="2:22" ht="12.95" customHeight="1" thickBot="1" x14ac:dyDescent="0.25">
      <c r="B15" s="152"/>
      <c r="C15" s="329" t="s">
        <v>112</v>
      </c>
      <c r="D15" s="330"/>
      <c r="E15" s="121">
        <v>55</v>
      </c>
      <c r="F15" s="152" t="s">
        <v>156</v>
      </c>
      <c r="G15" s="122">
        <v>0.5</v>
      </c>
      <c r="H15" s="338"/>
      <c r="I15" s="339"/>
      <c r="J15" s="153">
        <f t="shared" si="0"/>
        <v>27.5</v>
      </c>
      <c r="L15" s="158" t="s">
        <v>316</v>
      </c>
      <c r="M15" s="317" t="s">
        <v>211</v>
      </c>
      <c r="N15" s="164" t="str">
        <f>IF(M15=M68,S68,S69)</f>
        <v>0-0-60</v>
      </c>
      <c r="O15" s="198">
        <v>575</v>
      </c>
      <c r="P15" s="160">
        <f>IF(M15=M68,O15/(2000*P68),(O15/2000*P69))</f>
        <v>0.47916666666666669</v>
      </c>
      <c r="Q15" s="199">
        <v>90</v>
      </c>
      <c r="R15" s="162">
        <f>IF(M15=M68,Q15*P68,Q15*P69)</f>
        <v>54</v>
      </c>
      <c r="S15" s="266"/>
      <c r="T15" s="264"/>
      <c r="U15" s="267"/>
      <c r="V15" s="267"/>
    </row>
    <row r="16" spans="2:22" ht="12.95" customHeight="1" x14ac:dyDescent="0.2">
      <c r="B16" s="152"/>
      <c r="C16" s="329" t="s">
        <v>97</v>
      </c>
      <c r="D16" s="330"/>
      <c r="E16" s="121">
        <v>0</v>
      </c>
      <c r="F16" s="157" t="s">
        <v>314</v>
      </c>
      <c r="G16" s="122">
        <v>0</v>
      </c>
      <c r="H16" s="496"/>
      <c r="I16" s="497"/>
      <c r="J16" s="153">
        <f t="shared" si="0"/>
        <v>0</v>
      </c>
      <c r="L16" s="124" t="s">
        <v>257</v>
      </c>
      <c r="M16" s="163"/>
      <c r="N16" s="165"/>
      <c r="O16" s="166"/>
      <c r="P16" s="267"/>
      <c r="Q16" s="163"/>
      <c r="R16" s="163"/>
      <c r="S16" s="163"/>
      <c r="T16" s="167"/>
      <c r="U16" s="167"/>
    </row>
    <row r="17" spans="2:15" ht="12.95" customHeight="1" x14ac:dyDescent="0.2">
      <c r="B17" s="152"/>
      <c r="C17" s="329" t="s">
        <v>87</v>
      </c>
      <c r="D17" s="330"/>
      <c r="E17" s="125">
        <v>0.7</v>
      </c>
      <c r="F17" s="157" t="s">
        <v>306</v>
      </c>
      <c r="G17" s="122">
        <v>25</v>
      </c>
      <c r="H17" s="331"/>
      <c r="I17" s="331"/>
      <c r="J17" s="153">
        <f t="shared" si="0"/>
        <v>17.5</v>
      </c>
      <c r="L17" s="268" t="s">
        <v>352</v>
      </c>
    </row>
    <row r="18" spans="2:15" ht="12.95" customHeight="1" x14ac:dyDescent="0.2">
      <c r="B18" s="152"/>
      <c r="C18" s="329" t="s">
        <v>59</v>
      </c>
      <c r="D18" s="330"/>
      <c r="E18" s="152">
        <v>1</v>
      </c>
      <c r="F18" s="152" t="s">
        <v>60</v>
      </c>
      <c r="G18" s="122">
        <v>70</v>
      </c>
      <c r="H18" s="331"/>
      <c r="I18" s="331"/>
      <c r="J18" s="153">
        <f t="shared" si="0"/>
        <v>70</v>
      </c>
    </row>
    <row r="19" spans="2:15" ht="12.95" customHeight="1" x14ac:dyDescent="0.2">
      <c r="B19" s="152"/>
      <c r="C19" s="329" t="s">
        <v>144</v>
      </c>
      <c r="D19" s="330"/>
      <c r="E19" s="152">
        <v>1</v>
      </c>
      <c r="F19" s="152" t="s">
        <v>60</v>
      </c>
      <c r="G19" s="122">
        <v>0</v>
      </c>
      <c r="H19" s="331"/>
      <c r="I19" s="331"/>
      <c r="J19" s="153">
        <f t="shared" si="0"/>
        <v>0</v>
      </c>
      <c r="O19" s="166"/>
    </row>
    <row r="20" spans="2:15" ht="12.95" customHeight="1" thickBot="1" x14ac:dyDescent="0.25">
      <c r="B20" s="152"/>
      <c r="C20" s="329" t="s">
        <v>145</v>
      </c>
      <c r="D20" s="330"/>
      <c r="E20" s="152">
        <v>1</v>
      </c>
      <c r="F20" s="152" t="s">
        <v>60</v>
      </c>
      <c r="G20" s="122">
        <v>0</v>
      </c>
      <c r="H20" s="327"/>
      <c r="I20" s="328"/>
      <c r="J20" s="153">
        <f t="shared" si="0"/>
        <v>0</v>
      </c>
      <c r="L20" s="156"/>
    </row>
    <row r="21" spans="2:15" ht="12.95" customHeight="1" thickBot="1" x14ac:dyDescent="0.25">
      <c r="B21" s="152"/>
      <c r="C21" s="361" t="s">
        <v>86</v>
      </c>
      <c r="D21" s="362"/>
      <c r="E21" s="168">
        <v>1</v>
      </c>
      <c r="F21" s="168" t="s">
        <v>60</v>
      </c>
      <c r="G21" s="126">
        <v>0</v>
      </c>
      <c r="H21" s="363" t="s">
        <v>128</v>
      </c>
      <c r="I21" s="486" t="s">
        <v>51</v>
      </c>
      <c r="J21" s="169">
        <f>IF(I21=D62,'Machinery Calculations (SB)'!U74,E21*G21)</f>
        <v>17.480222717109775</v>
      </c>
      <c r="L21" s="156"/>
      <c r="M21" s="156"/>
    </row>
    <row r="22" spans="2:15" ht="12.95" customHeight="1" thickBot="1" x14ac:dyDescent="0.25">
      <c r="B22" s="152"/>
      <c r="C22" s="361" t="s">
        <v>8</v>
      </c>
      <c r="D22" s="362"/>
      <c r="E22" s="168">
        <v>1</v>
      </c>
      <c r="F22" s="168" t="s">
        <v>60</v>
      </c>
      <c r="G22" s="126">
        <v>0</v>
      </c>
      <c r="H22" s="384"/>
      <c r="I22" s="486"/>
      <c r="J22" s="169">
        <f>IF(I21=D62,'Machinery Calculations (SB)'!X74,E22*G22)</f>
        <v>22.775900166370885</v>
      </c>
      <c r="L22" s="156"/>
      <c r="M22" s="156"/>
    </row>
    <row r="23" spans="2:15" ht="12.95" customHeight="1" thickBot="1" x14ac:dyDescent="0.25">
      <c r="B23" s="152"/>
      <c r="C23" s="361" t="s">
        <v>71</v>
      </c>
      <c r="D23" s="362"/>
      <c r="E23" s="168">
        <v>1</v>
      </c>
      <c r="F23" s="168" t="s">
        <v>60</v>
      </c>
      <c r="G23" s="126">
        <v>0</v>
      </c>
      <c r="H23" s="384"/>
      <c r="I23" s="486"/>
      <c r="J23" s="169">
        <f>IF(I21=D62,'Machinery Calculations (SB)'!W74,E23*G23)</f>
        <v>0</v>
      </c>
      <c r="K23" s="132"/>
      <c r="L23" s="132"/>
    </row>
    <row r="24" spans="2:15" ht="12.95" customHeight="1" thickBot="1" x14ac:dyDescent="0.25">
      <c r="B24" s="152"/>
      <c r="C24" s="361" t="s">
        <v>113</v>
      </c>
      <c r="D24" s="362"/>
      <c r="E24" s="168">
        <v>1</v>
      </c>
      <c r="F24" s="168" t="s">
        <v>60</v>
      </c>
      <c r="G24" s="126">
        <v>0</v>
      </c>
      <c r="H24" s="384"/>
      <c r="I24" s="486"/>
      <c r="J24" s="169">
        <f>IF(I21=D62,(IF('Machinery Calculations (SB)'!B5='Machinery(Soybeans)'!B48,'Machinery Calculations (SB)'!V74,0)),E24*G24)</f>
        <v>27.643348957977565</v>
      </c>
      <c r="K24" s="156"/>
      <c r="L24" s="156"/>
    </row>
    <row r="25" spans="2:15" ht="12.95" customHeight="1" thickBot="1" x14ac:dyDescent="0.25">
      <c r="B25" s="152"/>
      <c r="C25" s="361" t="s">
        <v>127</v>
      </c>
      <c r="D25" s="367"/>
      <c r="E25" s="168">
        <v>1</v>
      </c>
      <c r="F25" s="168" t="s">
        <v>60</v>
      </c>
      <c r="G25" s="126">
        <v>0</v>
      </c>
      <c r="H25" s="385"/>
      <c r="I25" s="486"/>
      <c r="J25" s="169">
        <f>IF(I21=D62,'Machinery Calculations (SB)'!Z74,E25*G25)</f>
        <v>0</v>
      </c>
      <c r="K25" s="149" t="s">
        <v>75</v>
      </c>
      <c r="L25" s="156"/>
    </row>
    <row r="26" spans="2:15" ht="12.95" customHeight="1" thickBot="1" x14ac:dyDescent="0.25">
      <c r="B26" s="152"/>
      <c r="C26" s="269" t="s">
        <v>280</v>
      </c>
      <c r="D26" s="313" t="s">
        <v>213</v>
      </c>
      <c r="E26" s="172">
        <v>1</v>
      </c>
      <c r="F26" s="157" t="s">
        <v>55</v>
      </c>
      <c r="G26" s="122">
        <v>0.2</v>
      </c>
      <c r="H26" s="380" t="s">
        <v>263</v>
      </c>
      <c r="I26" s="494">
        <v>35</v>
      </c>
      <c r="J26" s="153" t="str">
        <f>IF(I21=D61,E6*G26,IF(D26=C83,E6*G26,""))</f>
        <v/>
      </c>
      <c r="K26" s="156"/>
      <c r="L26" s="124" t="str">
        <f>IF(I21=D61,"You must enter trucking in $/Bushel if you select N for 'Calculate Machinery Related Costs' above.","Select how you would like to include trucking costs.")</f>
        <v>Select how you would like to include trucking costs.</v>
      </c>
    </row>
    <row r="27" spans="2:15" ht="12.95" customHeight="1" thickBot="1" x14ac:dyDescent="0.25">
      <c r="B27" s="173"/>
      <c r="C27" s="489" t="s">
        <v>235</v>
      </c>
      <c r="D27" s="489"/>
      <c r="E27" s="172">
        <v>1</v>
      </c>
      <c r="F27" s="157" t="s">
        <v>55</v>
      </c>
      <c r="G27" s="300">
        <f>'Machinery Calculations (SB)'!AA79/E6</f>
        <v>0.21139554499353805</v>
      </c>
      <c r="H27" s="380"/>
      <c r="I27" s="495"/>
      <c r="J27" s="153" t="str">
        <f>IF(I21=D61,"",IF(D26=C84,IF(C27=C74,E6*G27,""),""))</f>
        <v/>
      </c>
      <c r="K27" s="156"/>
      <c r="L27" s="175" t="s">
        <v>276</v>
      </c>
    </row>
    <row r="28" spans="2:15" ht="12.95" customHeight="1" x14ac:dyDescent="0.2">
      <c r="B28" s="152"/>
      <c r="C28" s="487" t="s">
        <v>77</v>
      </c>
      <c r="D28" s="488"/>
      <c r="E28" s="152">
        <v>1</v>
      </c>
      <c r="F28" s="152" t="s">
        <v>60</v>
      </c>
      <c r="G28" s="122">
        <v>0</v>
      </c>
      <c r="H28" s="392"/>
      <c r="I28" s="392"/>
      <c r="J28" s="153">
        <f t="shared" ref="J28:J34" si="1">E28*G28</f>
        <v>0</v>
      </c>
      <c r="K28" s="149" t="s">
        <v>75</v>
      </c>
    </row>
    <row r="29" spans="2:15" ht="12.95" customHeight="1" thickBot="1" x14ac:dyDescent="0.25">
      <c r="B29" s="152"/>
      <c r="C29" s="332" t="s">
        <v>148</v>
      </c>
      <c r="D29" s="388"/>
      <c r="E29" s="152">
        <v>1</v>
      </c>
      <c r="F29" s="152" t="s">
        <v>85</v>
      </c>
      <c r="G29" s="122">
        <v>0</v>
      </c>
      <c r="H29" s="306" t="s">
        <v>373</v>
      </c>
      <c r="I29" s="270">
        <v>0</v>
      </c>
      <c r="J29" s="153">
        <f>(G29/54.5+0.005)*E6*I29</f>
        <v>0</v>
      </c>
    </row>
    <row r="30" spans="2:15" ht="12.95" customHeight="1" thickBot="1" x14ac:dyDescent="0.25">
      <c r="B30" s="152"/>
      <c r="C30" s="177" t="s">
        <v>215</v>
      </c>
      <c r="D30" s="313" t="s">
        <v>240</v>
      </c>
      <c r="E30" s="172">
        <f>E6*I30</f>
        <v>5.4</v>
      </c>
      <c r="F30" s="157" t="s">
        <v>55</v>
      </c>
      <c r="G30" s="122">
        <v>0.25</v>
      </c>
      <c r="H30" s="306" t="s">
        <v>216</v>
      </c>
      <c r="I30" s="129">
        <v>0.1</v>
      </c>
      <c r="J30" s="153">
        <f>IF(D30=C67,E30*G30,'Storage(Corn&amp;SB)'!D21)</f>
        <v>2.4468750000000008</v>
      </c>
      <c r="L30" s="124" t="s">
        <v>239</v>
      </c>
    </row>
    <row r="31" spans="2:15" ht="12.95" customHeight="1" thickBot="1" x14ac:dyDescent="0.25">
      <c r="B31" s="152"/>
      <c r="C31" s="329" t="s">
        <v>155</v>
      </c>
      <c r="D31" s="493"/>
      <c r="E31" s="152">
        <v>1</v>
      </c>
      <c r="F31" s="152" t="s">
        <v>60</v>
      </c>
      <c r="G31" s="122">
        <v>20</v>
      </c>
      <c r="H31" s="392"/>
      <c r="I31" s="392"/>
      <c r="J31" s="153">
        <f t="shared" si="1"/>
        <v>20</v>
      </c>
    </row>
    <row r="32" spans="2:15" ht="12.95" customHeight="1" thickBot="1" x14ac:dyDescent="0.25">
      <c r="B32" s="152"/>
      <c r="C32" s="177" t="s">
        <v>329</v>
      </c>
      <c r="D32" s="313" t="s">
        <v>243</v>
      </c>
      <c r="E32" s="172">
        <v>1</v>
      </c>
      <c r="F32" s="152" t="s">
        <v>60</v>
      </c>
      <c r="G32" s="122">
        <v>200</v>
      </c>
      <c r="H32" s="306" t="s">
        <v>244</v>
      </c>
      <c r="I32" s="129">
        <v>0.25</v>
      </c>
      <c r="J32" s="153">
        <f>IF(D32=C70,E32*G32,J6*I32)</f>
        <v>200</v>
      </c>
      <c r="L32" s="124" t="s">
        <v>238</v>
      </c>
    </row>
    <row r="33" spans="2:12" ht="12.95" customHeight="1" x14ac:dyDescent="0.2">
      <c r="B33" s="152"/>
      <c r="C33" s="329" t="s">
        <v>333</v>
      </c>
      <c r="D33" s="488"/>
      <c r="E33" s="152">
        <v>1</v>
      </c>
      <c r="F33" s="157" t="s">
        <v>60</v>
      </c>
      <c r="G33" s="122">
        <v>0</v>
      </c>
      <c r="H33" s="375"/>
      <c r="I33" s="375"/>
      <c r="J33" s="153">
        <f>E33*G33</f>
        <v>0</v>
      </c>
      <c r="L33" s="124"/>
    </row>
    <row r="34" spans="2:12" ht="12.95" customHeight="1" x14ac:dyDescent="0.2">
      <c r="B34" s="152"/>
      <c r="C34" s="329" t="s">
        <v>150</v>
      </c>
      <c r="D34" s="330"/>
      <c r="E34" s="152">
        <v>1</v>
      </c>
      <c r="F34" s="152" t="s">
        <v>60</v>
      </c>
      <c r="G34" s="122">
        <v>10</v>
      </c>
      <c r="H34" s="375"/>
      <c r="I34" s="375"/>
      <c r="J34" s="153">
        <f t="shared" si="1"/>
        <v>10</v>
      </c>
    </row>
    <row r="35" spans="2:12" ht="12.95" customHeight="1" x14ac:dyDescent="0.2">
      <c r="B35" s="152"/>
      <c r="C35" s="329" t="s">
        <v>61</v>
      </c>
      <c r="D35" s="330"/>
      <c r="E35" s="181">
        <f>SUM(J12:J34)-J30-J29-(SUM('Machinery Calculations (SB)'!U47:U51,'Machinery Calculations (SB)'!V47:V51,'Machinery Calculations (SB)'!W47:W51,'Machinery Calculations (SB)'!X47:X51,'Machinery Calculations (SB)'!Z47:Z51))</f>
        <v>473.76372532397158</v>
      </c>
      <c r="F35" s="152" t="s">
        <v>62</v>
      </c>
      <c r="G35" s="130">
        <v>7.0000000000000007E-2</v>
      </c>
      <c r="H35" s="306" t="s">
        <v>81</v>
      </c>
      <c r="I35" s="131">
        <v>6</v>
      </c>
      <c r="J35" s="155">
        <f>E35*G35*(I35/12)</f>
        <v>16.581730386339007</v>
      </c>
      <c r="L35" s="156"/>
    </row>
    <row r="36" spans="2:12" ht="12.95" customHeight="1" x14ac:dyDescent="0.2">
      <c r="B36" s="346" t="s">
        <v>63</v>
      </c>
      <c r="C36" s="347"/>
      <c r="D36" s="348"/>
      <c r="E36" s="152"/>
      <c r="F36" s="152"/>
      <c r="G36" s="152"/>
      <c r="H36" s="331"/>
      <c r="I36" s="331"/>
      <c r="J36" s="300">
        <f>SUM(J12:J35)</f>
        <v>521.42807722779719</v>
      </c>
    </row>
    <row r="37" spans="2:12" ht="7.5" customHeight="1" x14ac:dyDescent="0.2">
      <c r="B37" s="343"/>
      <c r="C37" s="344"/>
      <c r="D37" s="344"/>
      <c r="E37" s="344"/>
      <c r="F37" s="344"/>
      <c r="G37" s="344"/>
      <c r="H37" s="344"/>
      <c r="I37" s="344"/>
      <c r="J37" s="345"/>
    </row>
    <row r="38" spans="2:12" ht="15.75" x14ac:dyDescent="0.2">
      <c r="B38" s="340" t="s">
        <v>64</v>
      </c>
      <c r="C38" s="341"/>
      <c r="D38" s="341"/>
      <c r="E38" s="341"/>
      <c r="F38" s="341"/>
      <c r="G38" s="341"/>
      <c r="H38" s="341"/>
      <c r="I38" s="342"/>
      <c r="J38" s="182">
        <f>J9-J36</f>
        <v>172.07192277220281</v>
      </c>
    </row>
    <row r="39" spans="2:12" ht="7.5" customHeight="1" x14ac:dyDescent="0.2">
      <c r="B39" s="343"/>
      <c r="C39" s="344"/>
      <c r="D39" s="344"/>
      <c r="E39" s="344"/>
      <c r="F39" s="344"/>
      <c r="G39" s="344"/>
      <c r="H39" s="344"/>
      <c r="I39" s="344"/>
      <c r="J39" s="345"/>
    </row>
    <row r="40" spans="2:12" ht="12.95" customHeight="1" x14ac:dyDescent="0.2">
      <c r="B40" s="346" t="s">
        <v>65</v>
      </c>
      <c r="C40" s="347"/>
      <c r="D40" s="348"/>
      <c r="E40" s="485"/>
      <c r="F40" s="341"/>
      <c r="G40" s="341"/>
      <c r="H40" s="341"/>
      <c r="I40" s="341"/>
      <c r="J40" s="342"/>
    </row>
    <row r="41" spans="2:12" ht="12.95" customHeight="1" x14ac:dyDescent="0.2">
      <c r="B41" s="152"/>
      <c r="C41" s="361" t="s">
        <v>114</v>
      </c>
      <c r="D41" s="362"/>
      <c r="E41" s="168">
        <v>1</v>
      </c>
      <c r="F41" s="168" t="s">
        <v>60</v>
      </c>
      <c r="G41" s="126">
        <v>0</v>
      </c>
      <c r="H41" s="363" t="s">
        <v>91</v>
      </c>
      <c r="I41" s="364"/>
      <c r="J41" s="183">
        <f>IF(I21=D62,IF('Machinery Calculations (SB)'!B5='Machinery(Soybeans)'!B48,0,'Machinery Calculations (SB)'!V74),E41*G41)</f>
        <v>0</v>
      </c>
      <c r="L41" s="156"/>
    </row>
    <row r="42" spans="2:12" ht="12.95" customHeight="1" x14ac:dyDescent="0.2">
      <c r="B42" s="152"/>
      <c r="C42" s="361" t="s">
        <v>72</v>
      </c>
      <c r="D42" s="362"/>
      <c r="E42" s="168">
        <v>1</v>
      </c>
      <c r="F42" s="168" t="s">
        <v>60</v>
      </c>
      <c r="G42" s="126">
        <v>0</v>
      </c>
      <c r="H42" s="365"/>
      <c r="I42" s="366"/>
      <c r="J42" s="183">
        <f>IF(I21=D62,'Machinery Calculations (SB)'!Y74,E42*G42)</f>
        <v>46.241979125662098</v>
      </c>
      <c r="L42" s="149" t="s">
        <v>75</v>
      </c>
    </row>
    <row r="43" spans="2:12" ht="12.95" customHeight="1" x14ac:dyDescent="0.2">
      <c r="B43" s="152"/>
      <c r="C43" s="332" t="s">
        <v>76</v>
      </c>
      <c r="D43" s="333"/>
      <c r="E43" s="152">
        <v>1</v>
      </c>
      <c r="F43" s="152" t="s">
        <v>60</v>
      </c>
      <c r="G43" s="122">
        <v>5</v>
      </c>
      <c r="H43" s="331"/>
      <c r="I43" s="331"/>
      <c r="J43" s="153">
        <f>E43*G43</f>
        <v>5</v>
      </c>
      <c r="L43" s="156"/>
    </row>
    <row r="44" spans="2:12" ht="12.95" customHeight="1" x14ac:dyDescent="0.2">
      <c r="B44" s="152"/>
      <c r="C44" s="332" t="s">
        <v>149</v>
      </c>
      <c r="D44" s="333"/>
      <c r="E44" s="152">
        <v>1</v>
      </c>
      <c r="F44" s="152" t="s">
        <v>60</v>
      </c>
      <c r="G44" s="122">
        <v>10</v>
      </c>
      <c r="H44" s="331"/>
      <c r="I44" s="331"/>
      <c r="J44" s="155">
        <f>E44*G44</f>
        <v>10</v>
      </c>
    </row>
    <row r="45" spans="2:12" ht="15.75" x14ac:dyDescent="0.2">
      <c r="B45" s="340" t="s">
        <v>66</v>
      </c>
      <c r="C45" s="341"/>
      <c r="D45" s="341"/>
      <c r="E45" s="341"/>
      <c r="F45" s="341"/>
      <c r="G45" s="341"/>
      <c r="H45" s="341"/>
      <c r="I45" s="342"/>
      <c r="J45" s="182">
        <f>J38-SUM(J41:J44)</f>
        <v>110.82994364654071</v>
      </c>
      <c r="K45" s="149" t="s">
        <v>75</v>
      </c>
    </row>
    <row r="46" spans="2:12" ht="12.95" customHeight="1" x14ac:dyDescent="0.2">
      <c r="B46" s="343"/>
      <c r="C46" s="344"/>
      <c r="D46" s="344"/>
      <c r="E46" s="344"/>
      <c r="F46" s="344"/>
      <c r="G46" s="344"/>
      <c r="H46" s="344"/>
      <c r="I46" s="344"/>
      <c r="J46" s="345"/>
    </row>
    <row r="47" spans="2:12" ht="15.75" x14ac:dyDescent="0.2">
      <c r="B47" s="358" t="str">
        <f>"Breakeven Yield: Var. Costs at " &amp; TEXT(G6,"$0.00") &amp;" /bu"</f>
        <v>Breakeven Yield: Var. Costs at $12.75 /bu</v>
      </c>
      <c r="C47" s="359"/>
      <c r="D47" s="360"/>
      <c r="E47" s="184">
        <f>J36/G6</f>
        <v>40.896319782572327</v>
      </c>
      <c r="F47" s="369" t="s">
        <v>67</v>
      </c>
      <c r="G47" s="370"/>
      <c r="H47" s="370"/>
      <c r="I47" s="370"/>
      <c r="J47" s="371"/>
      <c r="K47" s="132"/>
      <c r="L47" s="132"/>
    </row>
    <row r="48" spans="2:12" ht="15.75" x14ac:dyDescent="0.2">
      <c r="B48" s="358" t="str">
        <f>"Breakeven Price: Var. Costs at " &amp; ROUND(E6,0) &amp;" bu/acre"</f>
        <v>Breakeven Price: Var. Costs at 54 bu/acre</v>
      </c>
      <c r="C48" s="359"/>
      <c r="D48" s="360"/>
      <c r="E48" s="185">
        <f>J36/E6</f>
        <v>9.6560755042184656</v>
      </c>
      <c r="F48" s="369" t="s">
        <v>136</v>
      </c>
      <c r="G48" s="370"/>
      <c r="H48" s="370"/>
      <c r="I48" s="370"/>
      <c r="J48" s="371"/>
      <c r="K48" s="132"/>
      <c r="L48" s="132"/>
    </row>
    <row r="49" spans="2:19" ht="15.75" x14ac:dyDescent="0.2">
      <c r="B49" s="358" t="str">
        <f>"Breakeven Price: All Costs at " &amp; ROUND(E6,0) &amp;" bu/acre"</f>
        <v>Breakeven Price: All Costs at 54 bu/acre</v>
      </c>
      <c r="C49" s="359"/>
      <c r="D49" s="360"/>
      <c r="E49" s="185">
        <f>(J36+SUM(J41:J44))/E6</f>
        <v>10.790186228767764</v>
      </c>
      <c r="F49" s="369" t="s">
        <v>137</v>
      </c>
      <c r="G49" s="370"/>
      <c r="H49" s="370"/>
      <c r="I49" s="370"/>
      <c r="J49" s="371"/>
    </row>
    <row r="50" spans="2:19" x14ac:dyDescent="0.2">
      <c r="B50" s="490"/>
      <c r="C50" s="490"/>
      <c r="D50" s="490"/>
      <c r="E50" s="490"/>
      <c r="F50" s="490"/>
      <c r="G50" s="490"/>
      <c r="H50" s="490"/>
      <c r="I50" s="490"/>
      <c r="J50" s="490"/>
    </row>
    <row r="51" spans="2:19" x14ac:dyDescent="0.2">
      <c r="B51" s="374" t="s">
        <v>142</v>
      </c>
      <c r="C51" s="374"/>
      <c r="D51" s="374"/>
      <c r="E51" s="374"/>
      <c r="F51" s="374"/>
      <c r="G51" s="374"/>
      <c r="H51" s="374"/>
      <c r="I51" s="374"/>
      <c r="J51" s="374"/>
    </row>
    <row r="52" spans="2:19" ht="13.15" customHeight="1" x14ac:dyDescent="0.2">
      <c r="B52" s="373" t="s">
        <v>146</v>
      </c>
      <c r="C52" s="372"/>
      <c r="D52" s="372"/>
      <c r="E52" s="372"/>
      <c r="F52" s="372"/>
      <c r="G52" s="372"/>
      <c r="H52" s="372"/>
      <c r="I52" s="372"/>
      <c r="J52" s="372"/>
    </row>
    <row r="53" spans="2:19" x14ac:dyDescent="0.2">
      <c r="B53" s="373" t="s">
        <v>147</v>
      </c>
      <c r="C53" s="372"/>
      <c r="D53" s="372"/>
      <c r="E53" s="372"/>
      <c r="F53" s="372"/>
      <c r="G53" s="372"/>
      <c r="H53" s="372"/>
      <c r="I53" s="372"/>
      <c r="J53" s="372"/>
    </row>
    <row r="54" spans="2:19" x14ac:dyDescent="0.2">
      <c r="B54" s="373" t="s">
        <v>143</v>
      </c>
      <c r="C54" s="372"/>
      <c r="D54" s="372"/>
      <c r="E54" s="372"/>
      <c r="F54" s="372"/>
      <c r="G54" s="372"/>
      <c r="H54" s="372"/>
      <c r="I54" s="372"/>
      <c r="J54" s="372"/>
    </row>
    <row r="55" spans="2:19" x14ac:dyDescent="0.2">
      <c r="B55" s="372"/>
      <c r="C55" s="372"/>
      <c r="D55" s="372"/>
      <c r="E55" s="372"/>
      <c r="F55" s="372"/>
      <c r="G55" s="372"/>
      <c r="H55" s="372"/>
      <c r="I55" s="372"/>
      <c r="J55" s="372"/>
    </row>
    <row r="60" spans="2:19" ht="15.75" hidden="1" customHeight="1" x14ac:dyDescent="0.2"/>
    <row r="61" spans="2:19" hidden="1" x14ac:dyDescent="0.2">
      <c r="C61" s="149">
        <v>5</v>
      </c>
      <c r="D61" s="149" t="s">
        <v>90</v>
      </c>
      <c r="O61" s="132" t="s">
        <v>208</v>
      </c>
      <c r="P61" s="132" t="s">
        <v>209</v>
      </c>
      <c r="Q61" s="132" t="s">
        <v>210</v>
      </c>
      <c r="R61" s="132"/>
      <c r="S61" s="187" t="s">
        <v>186</v>
      </c>
    </row>
    <row r="62" spans="2:19" hidden="1" x14ac:dyDescent="0.2">
      <c r="C62" s="149">
        <v>6</v>
      </c>
      <c r="D62" s="149" t="s">
        <v>51</v>
      </c>
      <c r="L62" s="304" t="s">
        <v>187</v>
      </c>
      <c r="M62" s="304"/>
      <c r="N62" s="304"/>
      <c r="O62" s="188"/>
      <c r="P62" s="188"/>
      <c r="Q62" s="188"/>
      <c r="R62" s="188"/>
      <c r="S62" s="189"/>
    </row>
    <row r="63" spans="2:19" hidden="1" x14ac:dyDescent="0.2">
      <c r="C63" s="149">
        <v>7</v>
      </c>
      <c r="M63" s="132" t="s">
        <v>188</v>
      </c>
      <c r="N63" s="132"/>
      <c r="O63" s="188">
        <v>0.46</v>
      </c>
      <c r="P63" s="188"/>
      <c r="Q63" s="188"/>
      <c r="R63" s="188"/>
      <c r="S63" s="190" t="s">
        <v>189</v>
      </c>
    </row>
    <row r="64" spans="2:19" hidden="1" x14ac:dyDescent="0.2">
      <c r="C64" s="149">
        <v>8</v>
      </c>
      <c r="M64" s="132" t="s">
        <v>190</v>
      </c>
      <c r="N64" s="132"/>
      <c r="O64" s="188">
        <v>0.82</v>
      </c>
      <c r="P64" s="188"/>
      <c r="Q64" s="188"/>
      <c r="R64" s="188"/>
      <c r="S64" s="190" t="s">
        <v>191</v>
      </c>
    </row>
    <row r="65" spans="3:19" hidden="1" x14ac:dyDescent="0.2">
      <c r="M65" s="132" t="s">
        <v>192</v>
      </c>
      <c r="N65" s="132"/>
      <c r="O65" s="188">
        <v>0.32</v>
      </c>
      <c r="P65" s="188"/>
      <c r="Q65" s="188"/>
      <c r="R65" s="188"/>
      <c r="S65" s="190" t="s">
        <v>193</v>
      </c>
    </row>
    <row r="66" spans="3:19" hidden="1" x14ac:dyDescent="0.2">
      <c r="M66" s="132" t="s">
        <v>194</v>
      </c>
      <c r="N66" s="132"/>
      <c r="O66" s="188">
        <v>0.28000000000000003</v>
      </c>
      <c r="P66" s="188"/>
      <c r="Q66" s="188"/>
      <c r="R66" s="188"/>
      <c r="S66" s="190" t="s">
        <v>195</v>
      </c>
    </row>
    <row r="67" spans="3:19" hidden="1" x14ac:dyDescent="0.2">
      <c r="C67" s="132" t="s">
        <v>229</v>
      </c>
      <c r="L67" s="304" t="s">
        <v>196</v>
      </c>
      <c r="M67" s="304"/>
      <c r="N67" s="304"/>
      <c r="O67" s="188"/>
      <c r="P67" s="188"/>
      <c r="Q67" s="188"/>
      <c r="R67" s="188"/>
      <c r="S67" s="190"/>
    </row>
    <row r="68" spans="3:19" hidden="1" x14ac:dyDescent="0.2">
      <c r="C68" s="132" t="s">
        <v>240</v>
      </c>
      <c r="M68" s="132" t="s">
        <v>211</v>
      </c>
      <c r="N68" s="132"/>
      <c r="O68" s="188"/>
      <c r="P68" s="188">
        <v>0.6</v>
      </c>
      <c r="Q68" s="188"/>
      <c r="R68" s="188"/>
      <c r="S68" s="190" t="s">
        <v>197</v>
      </c>
    </row>
    <row r="69" spans="3:19" hidden="1" x14ac:dyDescent="0.2">
      <c r="M69" s="132" t="s">
        <v>198</v>
      </c>
      <c r="N69" s="132"/>
      <c r="O69" s="188"/>
      <c r="P69" s="188">
        <v>0.5</v>
      </c>
      <c r="Q69" s="188"/>
      <c r="R69" s="188"/>
      <c r="S69" s="190" t="s">
        <v>199</v>
      </c>
    </row>
    <row r="70" spans="3:19" hidden="1" x14ac:dyDescent="0.2">
      <c r="C70" s="132" t="s">
        <v>243</v>
      </c>
      <c r="L70" s="304" t="s">
        <v>200</v>
      </c>
      <c r="M70" s="304"/>
      <c r="N70" s="304"/>
      <c r="O70" s="188"/>
      <c r="P70" s="188"/>
      <c r="Q70" s="188"/>
      <c r="R70" s="188"/>
      <c r="S70" s="191"/>
    </row>
    <row r="71" spans="3:19" hidden="1" x14ac:dyDescent="0.2">
      <c r="C71" s="132" t="s">
        <v>244</v>
      </c>
      <c r="M71" s="132" t="s">
        <v>201</v>
      </c>
      <c r="N71" s="132"/>
      <c r="O71" s="188">
        <v>0.11</v>
      </c>
      <c r="P71" s="188"/>
      <c r="Q71" s="188">
        <v>0.52</v>
      </c>
      <c r="R71" s="188"/>
      <c r="S71" s="190" t="s">
        <v>202</v>
      </c>
    </row>
    <row r="72" spans="3:19" hidden="1" x14ac:dyDescent="0.2">
      <c r="M72" s="132" t="s">
        <v>203</v>
      </c>
      <c r="N72" s="132"/>
      <c r="O72" s="188">
        <v>0.18</v>
      </c>
      <c r="P72" s="188"/>
      <c r="Q72" s="188">
        <v>0.46</v>
      </c>
      <c r="R72" s="188"/>
      <c r="S72" s="190" t="s">
        <v>204</v>
      </c>
    </row>
    <row r="73" spans="3:19" hidden="1" x14ac:dyDescent="0.2">
      <c r="C73" s="132" t="s">
        <v>235</v>
      </c>
      <c r="M73" s="132" t="s">
        <v>205</v>
      </c>
      <c r="N73" s="132"/>
      <c r="O73" s="188">
        <v>0.1</v>
      </c>
      <c r="P73" s="188"/>
      <c r="Q73" s="188">
        <v>0.34</v>
      </c>
      <c r="R73" s="188"/>
      <c r="S73" s="190" t="s">
        <v>205</v>
      </c>
    </row>
    <row r="74" spans="3:19" hidden="1" x14ac:dyDescent="0.2">
      <c r="C74" s="132" t="s">
        <v>262</v>
      </c>
      <c r="L74" s="304" t="s">
        <v>206</v>
      </c>
      <c r="M74" s="304"/>
      <c r="N74" s="304"/>
      <c r="O74" s="188"/>
      <c r="P74" s="188"/>
      <c r="Q74" s="188"/>
      <c r="R74" s="188"/>
      <c r="S74" s="192"/>
    </row>
    <row r="75" spans="3:19" hidden="1" x14ac:dyDescent="0.2">
      <c r="M75" s="132" t="s">
        <v>212</v>
      </c>
      <c r="N75" s="132"/>
      <c r="O75" s="188">
        <v>0.19</v>
      </c>
      <c r="P75" s="188">
        <v>0.19</v>
      </c>
      <c r="Q75" s="188">
        <v>0.19</v>
      </c>
      <c r="R75" s="188"/>
      <c r="S75" s="190" t="s">
        <v>207</v>
      </c>
    </row>
    <row r="76" spans="3:19" hidden="1" x14ac:dyDescent="0.2">
      <c r="C76" s="193" t="str">
        <f>IF(D26=C83,C74,C27)</f>
        <v>Include Trucking in Machinery Costs</v>
      </c>
      <c r="D76" s="193"/>
    </row>
    <row r="77" spans="3:19" hidden="1" x14ac:dyDescent="0.2">
      <c r="O77" s="194"/>
    </row>
    <row r="78" spans="3:19" hidden="1" x14ac:dyDescent="0.2">
      <c r="C78" s="132" t="s">
        <v>258</v>
      </c>
      <c r="O78" s="132"/>
    </row>
    <row r="79" spans="3:19" hidden="1" x14ac:dyDescent="0.2">
      <c r="C79" s="132" t="s">
        <v>259</v>
      </c>
      <c r="O79" s="132"/>
    </row>
    <row r="80" spans="3:19" hidden="1" x14ac:dyDescent="0.2">
      <c r="C80" s="132" t="s">
        <v>260</v>
      </c>
    </row>
    <row r="81" spans="3:19" hidden="1" x14ac:dyDescent="0.2">
      <c r="C81" s="132" t="s">
        <v>261</v>
      </c>
      <c r="O81" s="165"/>
      <c r="P81" s="267"/>
      <c r="Q81" s="167"/>
      <c r="R81" s="267"/>
      <c r="S81" s="267"/>
    </row>
    <row r="82" spans="3:19" hidden="1" x14ac:dyDescent="0.2"/>
    <row r="83" spans="3:19" hidden="1" x14ac:dyDescent="0.2">
      <c r="C83" s="132" t="s">
        <v>229</v>
      </c>
    </row>
    <row r="84" spans="3:19" hidden="1" x14ac:dyDescent="0.2">
      <c r="C84" s="186" t="str">
        <f>IF(I21=D61,"-","Calculate")</f>
        <v>Calculate</v>
      </c>
    </row>
    <row r="85" spans="3:19" hidden="1" x14ac:dyDescent="0.2"/>
    <row r="86" spans="3:19" hidden="1" x14ac:dyDescent="0.2">
      <c r="C86" s="149" t="s">
        <v>302</v>
      </c>
    </row>
    <row r="87" spans="3:19" hidden="1" x14ac:dyDescent="0.2">
      <c r="C87" s="149" t="s">
        <v>300</v>
      </c>
    </row>
    <row r="88" spans="3:19" hidden="1" x14ac:dyDescent="0.2">
      <c r="C88" s="149" t="s">
        <v>303</v>
      </c>
    </row>
    <row r="89" spans="3:19" hidden="1" x14ac:dyDescent="0.2">
      <c r="C89" s="149" t="s">
        <v>301</v>
      </c>
    </row>
    <row r="90" spans="3:19" hidden="1" x14ac:dyDescent="0.2"/>
    <row r="91" spans="3:19" hidden="1" x14ac:dyDescent="0.2">
      <c r="C91" s="193" t="str">
        <f>IF(I21=D61,C83,D26)</f>
        <v>Calculate</v>
      </c>
    </row>
    <row r="92" spans="3:19" hidden="1" x14ac:dyDescent="0.2"/>
    <row r="93" spans="3:19" hidden="1" x14ac:dyDescent="0.2">
      <c r="C93" s="132" t="s">
        <v>402</v>
      </c>
    </row>
    <row r="94" spans="3:19" hidden="1" x14ac:dyDescent="0.2">
      <c r="C94" s="197" t="s">
        <v>403</v>
      </c>
    </row>
  </sheetData>
  <sheetProtection algorithmName="SHA-512" hashValue="wDbSPJVv6RWK6j2L8r4LdiJU1RBKguuGVIlS9QWLN+wk41MNCYeOg5e+oOz+hZyItGGb1GjPeo0Z6iwbVi7IXg==" saltValue="3xpMNv7dJhhFA3wsuxV6cw==" spinCount="100000" sheet="1" objects="1" scenarios="1" formatCells="0" formatColumns="0" formatRows="0"/>
  <mergeCells count="91">
    <mergeCell ref="H21:H25"/>
    <mergeCell ref="C13:D13"/>
    <mergeCell ref="H33:I33"/>
    <mergeCell ref="V11:V12"/>
    <mergeCell ref="U11:U12"/>
    <mergeCell ref="T11:T12"/>
    <mergeCell ref="S11:S12"/>
    <mergeCell ref="R11:R12"/>
    <mergeCell ref="P11:P12"/>
    <mergeCell ref="Q11:Q12"/>
    <mergeCell ref="O11:O12"/>
    <mergeCell ref="N11:N12"/>
    <mergeCell ref="H13:I15"/>
    <mergeCell ref="L11:M12"/>
    <mergeCell ref="H31:I31"/>
    <mergeCell ref="H26:H27"/>
    <mergeCell ref="I26:I27"/>
    <mergeCell ref="C35:D35"/>
    <mergeCell ref="H9:I9"/>
    <mergeCell ref="H12:I12"/>
    <mergeCell ref="E11:J11"/>
    <mergeCell ref="H17:I17"/>
    <mergeCell ref="H18:I18"/>
    <mergeCell ref="B10:J10"/>
    <mergeCell ref="H16:I16"/>
    <mergeCell ref="C12:D12"/>
    <mergeCell ref="C14:D14"/>
    <mergeCell ref="C15:D15"/>
    <mergeCell ref="C16:D16"/>
    <mergeCell ref="C17:D17"/>
    <mergeCell ref="B9:D9"/>
    <mergeCell ref="B11:D11"/>
    <mergeCell ref="C18:D18"/>
    <mergeCell ref="C33:D33"/>
    <mergeCell ref="C31:D31"/>
    <mergeCell ref="C34:D34"/>
    <mergeCell ref="C29:D29"/>
    <mergeCell ref="B2:J2"/>
    <mergeCell ref="H4:I4"/>
    <mergeCell ref="H6:I6"/>
    <mergeCell ref="H8:I8"/>
    <mergeCell ref="E5:J5"/>
    <mergeCell ref="H7:I7"/>
    <mergeCell ref="B3:J3"/>
    <mergeCell ref="C8:D8"/>
    <mergeCell ref="C7:D7"/>
    <mergeCell ref="C6:D6"/>
    <mergeCell ref="C4:D4"/>
    <mergeCell ref="B5:D5"/>
    <mergeCell ref="H36:I36"/>
    <mergeCell ref="B38:I38"/>
    <mergeCell ref="B37:J37"/>
    <mergeCell ref="B39:J39"/>
    <mergeCell ref="B36:D36"/>
    <mergeCell ref="B52:J52"/>
    <mergeCell ref="B55:J55"/>
    <mergeCell ref="B51:J51"/>
    <mergeCell ref="B53:J53"/>
    <mergeCell ref="B54:J54"/>
    <mergeCell ref="B50:J50"/>
    <mergeCell ref="F48:J48"/>
    <mergeCell ref="B49:D49"/>
    <mergeCell ref="B48:D48"/>
    <mergeCell ref="B47:D47"/>
    <mergeCell ref="F49:J49"/>
    <mergeCell ref="B45:I45"/>
    <mergeCell ref="F47:J47"/>
    <mergeCell ref="B46:J46"/>
    <mergeCell ref="H41:I42"/>
    <mergeCell ref="H43:I43"/>
    <mergeCell ref="H44:I44"/>
    <mergeCell ref="C44:D44"/>
    <mergeCell ref="C43:D43"/>
    <mergeCell ref="C42:D42"/>
    <mergeCell ref="C41:D41"/>
    <mergeCell ref="H34:I34"/>
    <mergeCell ref="E40:J40"/>
    <mergeCell ref="B40:D40"/>
    <mergeCell ref="I21:I25"/>
    <mergeCell ref="C19:D19"/>
    <mergeCell ref="C20:D20"/>
    <mergeCell ref="C28:D28"/>
    <mergeCell ref="C25:D25"/>
    <mergeCell ref="C24:D24"/>
    <mergeCell ref="C23:D23"/>
    <mergeCell ref="H19:I19"/>
    <mergeCell ref="H28:I28"/>
    <mergeCell ref="H20:I20"/>
    <mergeCell ref="C27:D27"/>
    <mergeCell ref="C21:D21"/>
    <mergeCell ref="C22:D22"/>
  </mergeCells>
  <phoneticPr fontId="6" type="noConversion"/>
  <conditionalFormatting sqref="E21:G25 E41:G42">
    <cfRule type="expression" dxfId="26" priority="347">
      <formula>$I$21=$D$62</formula>
    </cfRule>
  </conditionalFormatting>
  <conditionalFormatting sqref="E26:G26">
    <cfRule type="expression" dxfId="25" priority="384">
      <formula>$C$91=$C$84</formula>
    </cfRule>
  </conditionalFormatting>
  <conditionalFormatting sqref="E30:G30">
    <cfRule type="expression" dxfId="24" priority="374">
      <formula>$D$30=$C$68</formula>
    </cfRule>
  </conditionalFormatting>
  <conditionalFormatting sqref="E32:G32">
    <cfRule type="expression" dxfId="23" priority="370">
      <formula>$D$32=$C$71</formula>
    </cfRule>
  </conditionalFormatting>
  <conditionalFormatting sqref="H26:I27 C27:G27 J27">
    <cfRule type="expression" dxfId="22" priority="354">
      <formula>$I$21=$D$61</formula>
    </cfRule>
  </conditionalFormatting>
  <conditionalFormatting sqref="H26:I27 C27:G27">
    <cfRule type="expression" dxfId="21" priority="379">
      <formula>$D$26=$C$83</formula>
    </cfRule>
  </conditionalFormatting>
  <conditionalFormatting sqref="H32:I32">
    <cfRule type="expression" dxfId="20" priority="369">
      <formula>$D$32=$C$70</formula>
    </cfRule>
  </conditionalFormatting>
  <dataValidations count="8">
    <dataValidation type="list" allowBlank="1" showInputMessage="1" showErrorMessage="1" sqref="M15" xr:uid="{00000000-0002-0000-0700-000000000000}">
      <formula1>$M$68:$M$69</formula1>
    </dataValidation>
    <dataValidation type="list" allowBlank="1" showInputMessage="1" showErrorMessage="1" sqref="M14" xr:uid="{00000000-0002-0000-0700-000001000000}">
      <formula1>$M$71:$M$73</formula1>
    </dataValidation>
    <dataValidation type="list" allowBlank="1" showInputMessage="1" showErrorMessage="1" sqref="I35" xr:uid="{00000000-0002-0000-0700-000002000000}">
      <formula1>$C$61:$C$64</formula1>
    </dataValidation>
    <dataValidation type="list" allowBlank="1" showInputMessage="1" showErrorMessage="1" sqref="I21" xr:uid="{00000000-0002-0000-0700-000003000000}">
      <formula1>$D$61:$D$62</formula1>
    </dataValidation>
    <dataValidation type="list" allowBlank="1" showInputMessage="1" showErrorMessage="1" sqref="D32:D33" xr:uid="{00000000-0002-0000-0700-000004000000}">
      <formula1>$C$70:$C$71</formula1>
    </dataValidation>
    <dataValidation type="list" allowBlank="1" showInputMessage="1" showErrorMessage="1" sqref="D30" xr:uid="{00000000-0002-0000-0700-000005000000}">
      <formula1>$C$67:$C$68</formula1>
    </dataValidation>
    <dataValidation type="list" allowBlank="1" showInputMessage="1" showErrorMessage="1" sqref="C27" xr:uid="{00000000-0002-0000-0700-000006000000}">
      <formula1>$C$73:$C$74</formula1>
    </dataValidation>
    <dataValidation type="list" allowBlank="1" showInputMessage="1" showErrorMessage="1" sqref="D26" xr:uid="{00000000-0002-0000-0700-000007000000}">
      <formula1>$C$83:$C$84</formula1>
    </dataValidation>
  </dataValidations>
  <pageMargins left="0.75" right="0.75" top="1" bottom="1" header="0.5" footer="0.5"/>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66"/>
  <sheetViews>
    <sheetView showGridLines="0" workbookViewId="0">
      <selection activeCell="B2" sqref="B2:L2"/>
    </sheetView>
  </sheetViews>
  <sheetFormatPr defaultColWidth="9.140625" defaultRowHeight="12.75" x14ac:dyDescent="0.2"/>
  <cols>
    <col min="1" max="1" width="3.7109375" customWidth="1"/>
    <col min="2" max="2" width="37.28515625" customWidth="1"/>
    <col min="3" max="5" width="8.28515625" customWidth="1"/>
    <col min="6" max="6" width="3.7109375" customWidth="1"/>
    <col min="7" max="8" width="14.7109375" customWidth="1"/>
    <col min="9" max="9" width="17.28515625" customWidth="1"/>
    <col min="10" max="11" width="14.7109375" customWidth="1"/>
    <col min="12" max="12" width="11.85546875" customWidth="1"/>
    <col min="13" max="13" width="3.7109375" customWidth="1"/>
    <col min="14" max="14" width="21.85546875" customWidth="1"/>
  </cols>
  <sheetData>
    <row r="2" spans="2:14" ht="15.75" x14ac:dyDescent="0.25">
      <c r="B2" s="461" t="s">
        <v>393</v>
      </c>
      <c r="C2" s="461"/>
      <c r="D2" s="461"/>
      <c r="E2" s="461"/>
      <c r="F2" s="461"/>
      <c r="G2" s="461"/>
      <c r="H2" s="461"/>
      <c r="I2" s="461"/>
      <c r="J2" s="461"/>
      <c r="K2" s="461"/>
      <c r="L2" s="461"/>
      <c r="M2" s="201"/>
      <c r="N2" s="201"/>
    </row>
    <row r="3" spans="2:14" ht="5.0999999999999996" customHeight="1" x14ac:dyDescent="0.25">
      <c r="B3" s="445"/>
      <c r="C3" s="445"/>
      <c r="D3" s="445"/>
      <c r="E3" s="445"/>
      <c r="F3" s="445"/>
      <c r="G3" s="445"/>
      <c r="H3" s="445"/>
      <c r="I3" s="445"/>
      <c r="J3" s="445"/>
      <c r="K3" s="445"/>
      <c r="L3" s="445"/>
      <c r="M3" s="201"/>
      <c r="N3" s="201"/>
    </row>
    <row r="4" spans="2:14" ht="12.95" customHeight="1" x14ac:dyDescent="0.2">
      <c r="B4" s="19"/>
      <c r="C4" s="420"/>
      <c r="D4" s="420"/>
      <c r="E4" s="428" t="s">
        <v>126</v>
      </c>
      <c r="F4" s="428"/>
      <c r="G4" s="428"/>
      <c r="H4" s="428"/>
      <c r="I4" s="428"/>
      <c r="J4" s="428"/>
      <c r="K4" s="428"/>
      <c r="L4" s="428"/>
    </row>
    <row r="5" spans="2:14" ht="12.95" customHeight="1" x14ac:dyDescent="0.2">
      <c r="B5" s="19" t="s">
        <v>151</v>
      </c>
      <c r="C5" s="507">
        <f>'Machinery(Corn)'!C5</f>
        <v>3.5</v>
      </c>
      <c r="D5" s="507"/>
      <c r="E5" s="429" t="s">
        <v>411</v>
      </c>
      <c r="F5" s="429"/>
      <c r="G5" s="429"/>
      <c r="H5" s="429"/>
      <c r="I5" s="429"/>
      <c r="J5" s="429"/>
      <c r="K5" s="429"/>
      <c r="L5" s="429"/>
    </row>
    <row r="6" spans="2:14" ht="12.95" customHeight="1" x14ac:dyDescent="0.2">
      <c r="B6" s="19" t="s">
        <v>152</v>
      </c>
      <c r="C6" s="507">
        <f>'Machinery(Corn)'!C6</f>
        <v>20</v>
      </c>
      <c r="D6" s="507"/>
      <c r="E6" s="429" t="s">
        <v>412</v>
      </c>
      <c r="F6" s="429"/>
      <c r="G6" s="429"/>
      <c r="H6" s="429"/>
      <c r="I6" s="429"/>
      <c r="J6" s="429"/>
      <c r="K6" s="429"/>
      <c r="L6" s="429"/>
      <c r="M6" s="15"/>
    </row>
    <row r="7" spans="2:14" ht="12.95" customHeight="1" x14ac:dyDescent="0.2">
      <c r="B7" s="19" t="s">
        <v>124</v>
      </c>
      <c r="C7" s="507" t="str">
        <f>'Machinery(Corn)'!C7</f>
        <v>Y</v>
      </c>
      <c r="D7" s="507"/>
      <c r="E7" s="429" t="s">
        <v>414</v>
      </c>
      <c r="F7" s="429"/>
      <c r="G7" s="429"/>
      <c r="H7" s="429"/>
      <c r="I7" s="429"/>
      <c r="J7" s="429"/>
      <c r="K7" s="429"/>
      <c r="L7" s="429"/>
    </row>
    <row r="8" spans="2:14" ht="12.95" customHeight="1" x14ac:dyDescent="0.2">
      <c r="B8" s="19" t="s">
        <v>153</v>
      </c>
      <c r="C8" s="507">
        <f>'Machinery(Corn)'!C8</f>
        <v>15</v>
      </c>
      <c r="D8" s="507"/>
      <c r="E8" s="429" t="s">
        <v>413</v>
      </c>
      <c r="F8" s="429"/>
      <c r="G8" s="429"/>
      <c r="H8" s="429"/>
      <c r="I8" s="429"/>
      <c r="J8" s="429"/>
      <c r="K8" s="429"/>
      <c r="L8" s="429"/>
    </row>
    <row r="9" spans="2:14" ht="12.95" customHeight="1" thickBot="1" x14ac:dyDescent="0.25">
      <c r="B9" s="19" t="s">
        <v>70</v>
      </c>
      <c r="C9" s="501">
        <f>'Machinery(Corn)'!C9</f>
        <v>0</v>
      </c>
      <c r="D9" s="501"/>
      <c r="E9" s="429" t="s">
        <v>415</v>
      </c>
      <c r="F9" s="429"/>
      <c r="G9" s="429"/>
      <c r="H9" s="429"/>
      <c r="I9" s="429"/>
      <c r="J9" s="429"/>
      <c r="K9" s="429"/>
      <c r="L9" s="429"/>
    </row>
    <row r="10" spans="2:14" ht="12.95" customHeight="1" thickBot="1" x14ac:dyDescent="0.25">
      <c r="B10" s="203" t="s">
        <v>404</v>
      </c>
      <c r="C10" s="503" t="s">
        <v>348</v>
      </c>
      <c r="D10" s="503"/>
      <c r="E10" s="447" t="s">
        <v>407</v>
      </c>
      <c r="F10" s="448"/>
      <c r="G10" s="448"/>
      <c r="H10" s="448"/>
      <c r="I10" s="448"/>
      <c r="J10" s="448"/>
      <c r="K10" s="448"/>
      <c r="L10" s="448"/>
    </row>
    <row r="11" spans="2:14" ht="12.95" customHeight="1" x14ac:dyDescent="0.2">
      <c r="B11" s="19" t="s">
        <v>406</v>
      </c>
      <c r="C11" s="271">
        <v>0.75</v>
      </c>
      <c r="D11" s="311">
        <v>0.75</v>
      </c>
      <c r="E11" s="429" t="s">
        <v>328</v>
      </c>
      <c r="F11" s="429"/>
      <c r="G11" s="429"/>
      <c r="H11" s="429"/>
      <c r="I11" s="429"/>
      <c r="J11" s="429"/>
      <c r="K11" s="429"/>
      <c r="L11" s="429"/>
    </row>
    <row r="12" spans="2:14" ht="12.95" customHeight="1" x14ac:dyDescent="0.2">
      <c r="B12" s="19" t="s">
        <v>405</v>
      </c>
      <c r="C12" s="3">
        <v>0.35</v>
      </c>
      <c r="D12" s="310">
        <v>0.35</v>
      </c>
      <c r="E12" s="429" t="s">
        <v>382</v>
      </c>
      <c r="F12" s="429"/>
      <c r="G12" s="429"/>
      <c r="H12" s="429"/>
      <c r="I12" s="429"/>
      <c r="J12" s="429"/>
      <c r="K12" s="429"/>
      <c r="L12" s="429"/>
    </row>
    <row r="14" spans="2:14" ht="15.75" x14ac:dyDescent="0.25">
      <c r="B14" s="461" t="str">
        <f>IF(Soybeans!I21=Soybeans!D62,"Machinery Operations - Soybeans","Machinery Calculations is not currently visible because user has selected N for Calculate Machinery Costs. This can be changed on the Soybean sheet.")</f>
        <v>Machinery Operations - Soybeans</v>
      </c>
      <c r="C14" s="461"/>
      <c r="D14" s="461"/>
      <c r="E14" s="461"/>
      <c r="F14" s="461"/>
      <c r="G14" s="461"/>
      <c r="H14" s="461"/>
      <c r="I14" s="461"/>
      <c r="J14" s="461"/>
      <c r="K14" s="461"/>
      <c r="L14" s="461"/>
      <c r="N14" s="15"/>
    </row>
    <row r="15" spans="2:14" ht="5.0999999999999996" customHeight="1" thickBot="1" x14ac:dyDescent="0.3">
      <c r="B15" s="445"/>
      <c r="C15" s="446"/>
      <c r="D15" s="446"/>
      <c r="E15" s="446"/>
      <c r="F15" s="445"/>
      <c r="G15" s="445"/>
      <c r="H15" s="445"/>
      <c r="I15" s="445"/>
      <c r="J15" s="445"/>
      <c r="K15" s="445"/>
      <c r="L15" s="445"/>
    </row>
    <row r="16" spans="2:14" ht="12.95" customHeight="1" thickBot="1" x14ac:dyDescent="0.3">
      <c r="B16" s="272" t="s">
        <v>236</v>
      </c>
      <c r="C16" s="463" t="s">
        <v>217</v>
      </c>
      <c r="D16" s="463"/>
      <c r="E16" s="463"/>
      <c r="F16" s="273"/>
      <c r="G16" s="325" t="s">
        <v>367</v>
      </c>
      <c r="H16" s="325"/>
      <c r="I16" s="325"/>
      <c r="J16" s="325"/>
      <c r="K16" s="325"/>
      <c r="L16" s="325"/>
    </row>
    <row r="17" spans="2:14" ht="12.95" customHeight="1" thickBot="1" x14ac:dyDescent="0.25">
      <c r="B17" s="272" t="s">
        <v>223</v>
      </c>
      <c r="C17" s="506" t="s">
        <v>348</v>
      </c>
      <c r="D17" s="506"/>
      <c r="E17" s="506"/>
      <c r="F17" s="211"/>
      <c r="G17" s="325" t="s">
        <v>368</v>
      </c>
      <c r="H17" s="325"/>
      <c r="I17" s="325"/>
      <c r="J17" s="325"/>
      <c r="K17" s="325"/>
      <c r="L17" s="325"/>
    </row>
    <row r="18" spans="2:14" ht="5.0999999999999996" customHeight="1" thickBot="1" x14ac:dyDescent="0.25">
      <c r="B18" s="439"/>
      <c r="C18" s="444"/>
      <c r="D18" s="444"/>
      <c r="E18" s="444"/>
      <c r="F18" s="440"/>
      <c r="G18" s="458"/>
      <c r="H18" s="458"/>
      <c r="I18" s="458"/>
      <c r="J18" s="458"/>
      <c r="K18" s="458"/>
      <c r="L18" s="441"/>
    </row>
    <row r="19" spans="2:14" ht="12.95" customHeight="1" thickBot="1" x14ac:dyDescent="0.25">
      <c r="B19" s="19" t="s">
        <v>125</v>
      </c>
      <c r="C19" s="420"/>
      <c r="D19" s="420"/>
      <c r="E19" s="309"/>
      <c r="F19" s="202"/>
      <c r="G19" s="314" t="s">
        <v>79</v>
      </c>
      <c r="H19" s="314" t="s">
        <v>79</v>
      </c>
      <c r="I19" s="314" t="s">
        <v>79</v>
      </c>
      <c r="J19" s="314" t="s">
        <v>79</v>
      </c>
      <c r="K19" s="314" t="s">
        <v>79</v>
      </c>
      <c r="L19" s="211"/>
    </row>
    <row r="20" spans="2:14" ht="12.95" customHeight="1" x14ac:dyDescent="0.2">
      <c r="B20" s="19" t="s">
        <v>420</v>
      </c>
      <c r="C20" s="420"/>
      <c r="D20" s="420"/>
      <c r="E20" s="504" t="s">
        <v>50</v>
      </c>
      <c r="F20" s="19"/>
      <c r="G20" s="244">
        <v>0</v>
      </c>
      <c r="H20" s="278">
        <v>0</v>
      </c>
      <c r="I20" s="278">
        <v>0</v>
      </c>
      <c r="J20" s="278">
        <v>0</v>
      </c>
      <c r="K20" s="278">
        <v>0</v>
      </c>
      <c r="L20" s="19"/>
    </row>
    <row r="21" spans="2:14" ht="12.95" customHeight="1" thickBot="1" x14ac:dyDescent="0.25">
      <c r="B21" s="287" t="s">
        <v>226</v>
      </c>
      <c r="C21" s="450" t="s">
        <v>223</v>
      </c>
      <c r="D21" s="451"/>
      <c r="E21" s="505"/>
      <c r="F21" s="19"/>
      <c r="G21" s="214" t="s">
        <v>224</v>
      </c>
      <c r="H21" s="214" t="s">
        <v>8</v>
      </c>
      <c r="I21" s="214" t="s">
        <v>312</v>
      </c>
      <c r="J21" s="214" t="s">
        <v>225</v>
      </c>
      <c r="K21" s="214" t="s">
        <v>50</v>
      </c>
      <c r="L21" s="214" t="s">
        <v>237</v>
      </c>
    </row>
    <row r="22" spans="2:14" ht="12.95" customHeight="1" thickBot="1" x14ac:dyDescent="0.25">
      <c r="B22" s="19" t="s">
        <v>140</v>
      </c>
      <c r="C22" s="274">
        <f>IF(C16=B59,'Machinery Calculations (SB)'!B34,'Machinery Calculations (SB)'!C41)</f>
        <v>1</v>
      </c>
      <c r="D22" s="279">
        <v>1</v>
      </c>
      <c r="E22" s="280" t="s">
        <v>90</v>
      </c>
      <c r="F22" s="211"/>
      <c r="G22" s="218">
        <f>IF(C16=B59,'Machinery Calculations (SB)'!U34,'Machinery Calculations (SB)'!U41)</f>
        <v>3.2028937499999994</v>
      </c>
      <c r="H22" s="218">
        <f>IF(C16=B59,'Machinery Calculations (SB)'!X34,'Machinery Calculations (SB)'!X41)</f>
        <v>5.187932979166666</v>
      </c>
      <c r="I22" s="218">
        <f>IF(C16=B59,'Machinery Calculations (SB)'!Y34,'Machinery Calculations (SB)'!Y41)</f>
        <v>10.533076048611109</v>
      </c>
      <c r="J22" s="218">
        <f>IF(C16=B59,'Machinery Calculations (SB)'!V34+'Machinery Calculations (SB)'!W34,'Machinery Calculations (SB)'!V41+'Machinery Calculations (SB)'!W41)</f>
        <v>2.3596296296296297</v>
      </c>
      <c r="K22" s="218">
        <f>IF(C16=B59,'Machinery Calculations (SB)'!Z34,'Machinery Calculations (SB)'!Z41)</f>
        <v>0</v>
      </c>
      <c r="L22" s="293">
        <f t="shared" ref="L22:L27" si="0">SUM(G22:K22)</f>
        <v>21.283532407407407</v>
      </c>
    </row>
    <row r="23" spans="2:14" ht="12.95" customHeight="1" thickBot="1" x14ac:dyDescent="0.25">
      <c r="B23" s="19" t="s">
        <v>269</v>
      </c>
      <c r="C23" s="274">
        <f>IF(C16=B59,'Machinery Calculations (SB)'!B63,'Machinery Calculations (SB)'!C63)</f>
        <v>2.5</v>
      </c>
      <c r="D23" s="279">
        <v>2</v>
      </c>
      <c r="E23" s="280" t="s">
        <v>90</v>
      </c>
      <c r="F23" s="211"/>
      <c r="G23" s="218">
        <f>'Machinery Calculations (SB)'!U63</f>
        <v>1.1898906250000001</v>
      </c>
      <c r="H23" s="218">
        <f>'Machinery Calculations (SB)'!X63</f>
        <v>5.51423296875</v>
      </c>
      <c r="I23" s="218">
        <f>'Machinery Calculations (SB)'!Y63</f>
        <v>11.195563906250001</v>
      </c>
      <c r="J23" s="218">
        <f>'Machinery Calculations (SB)'!V63+'Machinery Calculations (SB)'!W63</f>
        <v>1.7249999999999999</v>
      </c>
      <c r="K23" s="218">
        <f>'Machinery Calculations (SB)'!Z63</f>
        <v>0</v>
      </c>
      <c r="L23" s="293">
        <f t="shared" si="0"/>
        <v>19.624687500000004</v>
      </c>
    </row>
    <row r="24" spans="2:14" ht="12.95" customHeight="1" thickBot="1" x14ac:dyDescent="0.25">
      <c r="B24" s="19" t="s">
        <v>370</v>
      </c>
      <c r="C24" s="274">
        <f>IF(C16=B59,'Machinery Calculations (SB)'!B56,'Machinery Calculations (SB)'!C56)</f>
        <v>1</v>
      </c>
      <c r="D24" s="279">
        <v>1</v>
      </c>
      <c r="E24" s="280" t="s">
        <v>90</v>
      </c>
      <c r="F24" s="211"/>
      <c r="G24" s="218">
        <f>'Machinery Calculations (SB)'!U56</f>
        <v>1.3074745263203018</v>
      </c>
      <c r="H24" s="218">
        <f>'Machinery Calculations (SB)'!X56</f>
        <v>1.6515480079851588</v>
      </c>
      <c r="I24" s="218">
        <f>'Machinery Calculations (SB)'!Y56</f>
        <v>3.3531429253032008</v>
      </c>
      <c r="J24" s="218">
        <f>'Machinery Calculations (SB)'!V56+'Machinery Calculations (SB)'!W56</f>
        <v>0.90012283711986496</v>
      </c>
      <c r="K24" s="218">
        <f>'Machinery Calculations (SB)'!Z56</f>
        <v>0</v>
      </c>
      <c r="L24" s="293">
        <f t="shared" si="0"/>
        <v>7.2122882967285253</v>
      </c>
    </row>
    <row r="25" spans="2:14" ht="12.95" customHeight="1" thickBot="1" x14ac:dyDescent="0.25">
      <c r="B25" s="19" t="s">
        <v>295</v>
      </c>
      <c r="C25" s="274">
        <f>IF(C16=B59,'Machinery Calculations (SB)'!B48,'Machinery Calculations (SB)'!C48)</f>
        <v>1</v>
      </c>
      <c r="D25" s="279">
        <v>1</v>
      </c>
      <c r="E25" s="280" t="s">
        <v>90</v>
      </c>
      <c r="F25" s="211"/>
      <c r="G25" s="218">
        <f>'Machinery Calculations (SB)'!U48</f>
        <v>7.5730374999999999</v>
      </c>
      <c r="H25" s="218">
        <f>'Machinery Calculations (SB)'!X48</f>
        <v>7.9354151249999996</v>
      </c>
      <c r="I25" s="218">
        <f>'Machinery Calculations (SB)'!Y48</f>
        <v>16.111297374999999</v>
      </c>
      <c r="J25" s="218">
        <f>'Machinery Calculations (SB)'!V48+'Machinery Calculations (SB)'!W48</f>
        <v>3.6033333333333335</v>
      </c>
      <c r="K25" s="218">
        <f>'Machinery Calculations (SB)'!Z48</f>
        <v>0</v>
      </c>
      <c r="L25" s="293">
        <f t="shared" si="0"/>
        <v>35.223083333333335</v>
      </c>
    </row>
    <row r="26" spans="2:14" ht="12.95" customHeight="1" thickBot="1" x14ac:dyDescent="0.25">
      <c r="B26" s="19" t="s">
        <v>47</v>
      </c>
      <c r="C26" s="274">
        <f>IF(C16=B59,'Machinery Calculations (SB)'!B50,'Machinery Calculations (SB)'!C50)</f>
        <v>0.5</v>
      </c>
      <c r="D26" s="279">
        <v>0.5</v>
      </c>
      <c r="E26" s="280" t="s">
        <v>90</v>
      </c>
      <c r="F26" s="211"/>
      <c r="G26" s="218">
        <f>'Machinery Calculations (SB)'!U50</f>
        <v>0.32200000000000001</v>
      </c>
      <c r="H26" s="218">
        <f>'Machinery Calculations (SB)'!X50</f>
        <v>0.55621500000000013</v>
      </c>
      <c r="I26" s="218">
        <f>'Machinery Calculations (SB)'!Y50</f>
        <v>1.1292850000000001</v>
      </c>
      <c r="J26" s="218">
        <f>'Machinery Calculations (SB)'!V50+'Machinery Calculations (SB)'!W50</f>
        <v>1.1499999999999999</v>
      </c>
      <c r="K26" s="218">
        <f>'Machinery Calculations (SB)'!Z50</f>
        <v>0</v>
      </c>
      <c r="L26" s="293">
        <f t="shared" si="0"/>
        <v>3.1575000000000002</v>
      </c>
    </row>
    <row r="27" spans="2:14" ht="12.95" customHeight="1" thickBot="1" x14ac:dyDescent="0.25">
      <c r="B27" s="19" t="s">
        <v>319</v>
      </c>
      <c r="C27" s="274">
        <f>IF(C16=B59,'Machinery Calculations (SB)'!B25,'Machinery Calculations (SB)'!C25)</f>
        <v>0</v>
      </c>
      <c r="D27" s="279">
        <v>2</v>
      </c>
      <c r="E27" s="280" t="s">
        <v>90</v>
      </c>
      <c r="F27" s="211"/>
      <c r="G27" s="218">
        <f>'Machinery Calculations (SB)'!U25</f>
        <v>0</v>
      </c>
      <c r="H27" s="218">
        <f>'Machinery Calculations (SB)'!X25</f>
        <v>0</v>
      </c>
      <c r="I27" s="218">
        <f>'Machinery Calculations (SB)'!Y25</f>
        <v>0</v>
      </c>
      <c r="J27" s="218">
        <f>'Machinery Calculations (SB)'!V25+'Machinery Calculations (SB)'!W25</f>
        <v>0</v>
      </c>
      <c r="K27" s="218">
        <f>'Machinery Calculations (SB)'!Z25</f>
        <v>0</v>
      </c>
      <c r="L27" s="293">
        <f t="shared" si="0"/>
        <v>0</v>
      </c>
    </row>
    <row r="28" spans="2:14" ht="12.95" customHeight="1" thickBot="1" x14ac:dyDescent="0.25">
      <c r="B28" s="19" t="s">
        <v>280</v>
      </c>
      <c r="C28" s="90"/>
      <c r="D28" s="281"/>
      <c r="E28" s="280" t="s">
        <v>90</v>
      </c>
      <c r="F28" s="103"/>
      <c r="G28" s="218">
        <f>'Machinery Calculations (SB)'!U51</f>
        <v>2.6599263157894737</v>
      </c>
      <c r="H28" s="218">
        <f>'Machinery Calculations (SB)'!X51</f>
        <v>1.9305560854690589</v>
      </c>
      <c r="I28" s="218">
        <f>'Machinery Calculations (SB)'!Y51</f>
        <v>3.9196138704977859</v>
      </c>
      <c r="J28" s="218">
        <f>'Machinery Calculations (SB)'!V51+'Machinery Calculations (SB)'!W51</f>
        <v>2.905263157894737</v>
      </c>
      <c r="K28" s="218">
        <f>'Machinery Calculations (SB)'!Z51</f>
        <v>0</v>
      </c>
      <c r="L28" s="293">
        <f t="shared" ref="L28" si="1">SUM(G28:K28)</f>
        <v>11.415359429651055</v>
      </c>
    </row>
    <row r="29" spans="2:14" ht="5.0999999999999996" customHeight="1" x14ac:dyDescent="0.2">
      <c r="B29" s="439"/>
      <c r="C29" s="440"/>
      <c r="D29" s="440"/>
      <c r="E29" s="444"/>
      <c r="F29" s="440"/>
      <c r="G29" s="440"/>
      <c r="H29" s="440"/>
      <c r="I29" s="440"/>
      <c r="J29" s="440"/>
      <c r="K29" s="440"/>
      <c r="L29" s="441"/>
    </row>
    <row r="30" spans="2:14" ht="13.5" thickBot="1" x14ac:dyDescent="0.25">
      <c r="B30" s="292" t="s">
        <v>419</v>
      </c>
      <c r="C30" s="211"/>
      <c r="D30" s="19"/>
      <c r="E30" s="206"/>
      <c r="F30" s="211"/>
      <c r="G30" s="430" t="str">
        <f>IF(C16=B58,"Please select one from each list below.","Please select one from each list below. Ensure that additional tillage options are not the same." )</f>
        <v>Please select one from each list below.</v>
      </c>
      <c r="H30" s="430"/>
      <c r="I30" s="430"/>
      <c r="J30" s="430"/>
      <c r="K30" s="430"/>
      <c r="L30" s="431"/>
    </row>
    <row r="31" spans="2:14" ht="12.95" customHeight="1" thickBot="1" x14ac:dyDescent="0.25">
      <c r="B31" s="318" t="s">
        <v>349</v>
      </c>
      <c r="C31" s="274">
        <f>IF(B31=D49,G49,IF(B31=D50,G50,0))</f>
        <v>0</v>
      </c>
      <c r="D31" s="281">
        <v>0.5</v>
      </c>
      <c r="E31" s="280" t="s">
        <v>90</v>
      </c>
      <c r="F31" s="103"/>
      <c r="G31" s="294">
        <f>IF(B31=D48,0,IF(B31=D49,IF(C16=B59,'Machinery Calculations (SB)'!U37,'Machinery Calculations (SB)'!U44),IF(B31=D50,IF(C16=B59,'Machinery Calculations (SB)'!U36,'Machinery Calculations (SB)'!U43))))</f>
        <v>0</v>
      </c>
      <c r="H31" s="294">
        <f>IF(B31=D48,0,IF(B31=D49,IF(C16=B59,'Machinery Calculations (SB)'!X37,'Machinery Calculations (SB)'!X44),IF(B31=D50,IF(C16=B59,'Machinery Calculations (SB)'!X36,'Machinery Calculations (SB)'!X43))))</f>
        <v>0</v>
      </c>
      <c r="I31" s="294">
        <f>IF(B31=D48,0,IF(B31=D49,IF(C16=B59,'Machinery Calculations (SB)'!Y37,'Machinery Calculations (SB)'!Y44),IF(B31=D50,IF(C16=B59,'Machinery Calculations (SB)'!Y36,'Machinery Calculations (SB)'!Y43))))</f>
        <v>0</v>
      </c>
      <c r="J31" s="294">
        <f>IF(B31=D48,0,IF(B31=D49,IF(C16=B59,'Machinery Calculations (SB)'!V37+'Machinery Calculations (SB)'!W37,'Machinery Calculations (SB)'!V44+'Machinery Calculations (SB)'!W44),IF(B31=D50,IF(C16=B59,'Machinery Calculations (SB)'!V36+'Machinery Calculations (SB)'!W36,'Machinery Calculations (SB)'!V43+'Machinery Calculations (SB)'!W43))))</f>
        <v>0</v>
      </c>
      <c r="K31" s="294">
        <f>IF(B31=D48,0,IF(B31=D49,IF(C16=B59,'Machinery Calculations (SB)'!Z37,'Machinery Calculations (SB)'!Z44),IF(B31=D50,IF(C16=B59,'Machinery Calculations (SB)'!Z36,'Machinery Calculations (SB)'!Z43))))</f>
        <v>0</v>
      </c>
      <c r="L31" s="293">
        <f>SUM(G31:K31)</f>
        <v>0</v>
      </c>
      <c r="M31" s="15"/>
      <c r="N31" s="224" t="s">
        <v>320</v>
      </c>
    </row>
    <row r="32" spans="2:14" ht="12.95" customHeight="1" thickBot="1" x14ac:dyDescent="0.25">
      <c r="B32" s="318" t="s">
        <v>351</v>
      </c>
      <c r="C32" s="274">
        <f>IF(B32=D52,IF(C16=B58,'Machinery Calculations (SB)'!C29,'Machinery Calculations (SB)'!B29),0)</f>
        <v>0</v>
      </c>
      <c r="D32" s="281">
        <v>0.5</v>
      </c>
      <c r="E32" s="280" t="s">
        <v>90</v>
      </c>
      <c r="F32" s="103"/>
      <c r="G32" s="294">
        <f>IF(B32=D52,'Machinery Calculations (SB)'!U29,0)</f>
        <v>0</v>
      </c>
      <c r="H32" s="294">
        <f>IF(B32=D52,'Machinery Calculations (SB)'!X29,0)</f>
        <v>0</v>
      </c>
      <c r="I32" s="294">
        <f>IF(B32=D52,'Machinery Calculations (SB)'!Y29,0)</f>
        <v>0</v>
      </c>
      <c r="J32" s="294">
        <f>IF(B32=D52,'Machinery Calculations (SB)'!V29+'Machinery Calculations (SB)'!W29,0)</f>
        <v>0</v>
      </c>
      <c r="K32" s="294">
        <f>IF(B32=D52,'Machinery Calculations (SB)'!Z29,0)</f>
        <v>0</v>
      </c>
      <c r="L32" s="293">
        <f>SUM(G32:K32)</f>
        <v>0</v>
      </c>
      <c r="M32" s="15"/>
      <c r="N32" s="224" t="s">
        <v>320</v>
      </c>
    </row>
    <row r="33" spans="1:14" ht="12.95" customHeight="1" thickBot="1" x14ac:dyDescent="0.25">
      <c r="B33" s="318" t="s">
        <v>345</v>
      </c>
      <c r="C33" s="274">
        <f>IF(B33=D54,'Machinery Calculations (SB)'!B21,IF(B33=D55,'Machinery Calculations (SB)'!B22,IF(B33=D56,'Machinery Calculations (SB)'!B27,0)))</f>
        <v>0</v>
      </c>
      <c r="D33" s="281">
        <v>0.5</v>
      </c>
      <c r="E33" s="280" t="s">
        <v>90</v>
      </c>
      <c r="F33" s="103"/>
      <c r="G33" s="294">
        <f>IF(B33=D54,'Machinery Calculations (SB)'!U21,IF(B33=D55,'Machinery Calculations (SB)'!U22,IF(B33=D56,'Machinery Calculations (SB)'!U27,0)))</f>
        <v>0</v>
      </c>
      <c r="H33" s="294">
        <f>IF(B33=D54,'Machinery Calculations (SB)'!X21,IF(B33=D55,'Machinery Calculations (SB)'!X22,IF(B33=D56,'Machinery Calculations (SB)'!X27,0)))</f>
        <v>0</v>
      </c>
      <c r="I33" s="294">
        <f>IF(B33=D54,'Machinery Calculations (SB)'!Y21,IF(B33=D55,'Machinery Calculations (SB)'!Y22,IF(B33=D56,'Machinery Calculations (SB)'!Y27,0)))</f>
        <v>0</v>
      </c>
      <c r="J33" s="294">
        <f>IF(B33=D54,'Machinery Calculations (SB)'!V21+'Machinery Calculations (SB)'!W21,IF(B33=D55,'Machinery Calculations (SB)'!V22+'Machinery Calculations (SB)'!W22,IF(B33=D56,'Machinery Calculations (SB)'!V27+'Machinery Calculations (SB)'!W27,0)))</f>
        <v>0</v>
      </c>
      <c r="K33" s="294">
        <f>IF(B33=D54,'Machinery Calculations (SB)'!Z21,IF(B33=D55,'Machinery Calculations (SB)'!Z22,IF(B33=D56,'Machinery Calculations (SB)'!Z27,0)))</f>
        <v>0</v>
      </c>
      <c r="L33" s="293">
        <f>SUM(G33:K33)</f>
        <v>0</v>
      </c>
      <c r="M33" s="15"/>
      <c r="N33" s="224" t="s">
        <v>320</v>
      </c>
    </row>
    <row r="34" spans="1:14" ht="12.95" customHeight="1" thickBot="1" x14ac:dyDescent="0.25">
      <c r="B34" s="318" t="s">
        <v>345</v>
      </c>
      <c r="C34" s="274">
        <f>IF(B34=D58,'Machinery Calculations (SB)'!B21,IF(B34=D59,'Machinery Calculations (SB)'!B22,IF(B34=D60,'Machinery Calculations (SB)'!B27,0)))</f>
        <v>0</v>
      </c>
      <c r="D34" s="282">
        <v>0.5</v>
      </c>
      <c r="E34" s="280" t="s">
        <v>90</v>
      </c>
      <c r="F34" s="103"/>
      <c r="G34" s="294">
        <f>IF(B34=D58,'Machinery Calculations (SB)'!U21,IF(B34=D59,'Machinery Calculations (SB)'!U22,IF(B34=D60,'Machinery Calculations (SB)'!U27,0)))</f>
        <v>0</v>
      </c>
      <c r="H34" s="294">
        <f>IF(B34=D58,'Machinery Calculations (SB)'!X21,IF(B34=D59,'Machinery Calculations (SB)'!X22,IF(B34=D60,'Machinery Calculations (SB)'!X27,0)))</f>
        <v>0</v>
      </c>
      <c r="I34" s="294">
        <f>IF(B34=D58,'Machinery Calculations (SB)'!Y21,IF(B34=D59,'Machinery Calculations (SB)'!Y22,IF(B34=D60,'Machinery Calculations (SB)'!Y27,0)))</f>
        <v>0</v>
      </c>
      <c r="J34" s="294">
        <f>IF(B34=D58,'Machinery Calculations (SB)'!V21+'Machinery Calculations (SB)'!W21,IF(B34=D59,'Machinery Calculations (SB)'!V22+'Machinery Calculations (SB)'!W22,IF(B34=D60,'Machinery Calculations (SB)'!V27+'Machinery Calculations (SB)'!W27,0)))</f>
        <v>0</v>
      </c>
      <c r="K34" s="294">
        <f>IF(B34=D58,'Machinery Calculations (SB)'!Z21,IF(B34=D59,'Machinery Calculations (SB)'!Z22,IF(B34=D60,'Machinery Calculations (SB)'!Z27,0)))</f>
        <v>0</v>
      </c>
      <c r="L34" s="293">
        <f>SUM(G34:K34)</f>
        <v>0</v>
      </c>
      <c r="M34" s="15"/>
      <c r="N34" s="224" t="str">
        <f>IF(B34=D57,"Select an additional machinery operation or none.",IF(B34=B33,"Please make sure that the additional tillage options are not the same","Select an additional machinery operation or none."))</f>
        <v>Select an additional machinery operation or none.</v>
      </c>
    </row>
    <row r="35" spans="1:14" ht="12.95" customHeight="1" x14ac:dyDescent="0.2">
      <c r="A35" s="275"/>
      <c r="B35" s="276"/>
      <c r="C35" s="502" t="s">
        <v>408</v>
      </c>
      <c r="D35" s="502"/>
      <c r="E35" s="508"/>
      <c r="F35" s="509"/>
      <c r="G35" s="509"/>
      <c r="H35" s="509"/>
      <c r="I35" s="509"/>
      <c r="J35" s="509"/>
      <c r="K35" s="509"/>
      <c r="L35" s="510"/>
      <c r="N35" s="15"/>
    </row>
    <row r="36" spans="1:14" ht="12.95" customHeight="1" x14ac:dyDescent="0.2">
      <c r="B36" s="19" t="s">
        <v>409</v>
      </c>
      <c r="C36" s="434">
        <f>IF(C10=B64,C11,D11)</f>
        <v>0.75</v>
      </c>
      <c r="D36" s="435"/>
      <c r="E36" s="308"/>
      <c r="F36" s="4"/>
      <c r="G36" s="218" t="s">
        <v>277</v>
      </c>
      <c r="H36" s="218" t="s">
        <v>277</v>
      </c>
      <c r="I36" s="219" t="s">
        <v>277</v>
      </c>
      <c r="J36" s="294">
        <f>'Machinery Calculations (SB)'!V71+'Machinery Calculations (SB)'!W71</f>
        <v>15</v>
      </c>
      <c r="K36" s="219" t="s">
        <v>277</v>
      </c>
      <c r="L36" s="293">
        <f>SUM(G36:K36)</f>
        <v>15</v>
      </c>
    </row>
    <row r="37" spans="1:14" ht="12.95" customHeight="1" x14ac:dyDescent="0.2">
      <c r="B37" s="202" t="s">
        <v>410</v>
      </c>
      <c r="C37" s="511">
        <f>IF(C10=B64,C12,D12)</f>
        <v>0.35</v>
      </c>
      <c r="D37" s="511"/>
      <c r="E37" s="83"/>
      <c r="F37" s="4"/>
      <c r="G37" s="218">
        <f>'Machinery Calculations (SB)'!U72</f>
        <v>1.2249999999999999</v>
      </c>
      <c r="H37" s="218" t="s">
        <v>277</v>
      </c>
      <c r="I37" s="219" t="s">
        <v>277</v>
      </c>
      <c r="J37" s="219" t="s">
        <v>277</v>
      </c>
      <c r="K37" s="219" t="s">
        <v>277</v>
      </c>
      <c r="L37" s="293">
        <f>SUM(G37:K37)</f>
        <v>1.2249999999999999</v>
      </c>
    </row>
    <row r="38" spans="1:14" ht="12.95" customHeight="1" x14ac:dyDescent="0.2">
      <c r="B38" s="439"/>
      <c r="C38" s="440"/>
      <c r="D38" s="440"/>
      <c r="E38" s="440"/>
      <c r="F38" s="440"/>
      <c r="G38" s="440"/>
      <c r="H38" s="440"/>
      <c r="I38" s="440"/>
      <c r="J38" s="440"/>
      <c r="K38" s="440"/>
      <c r="L38" s="441"/>
    </row>
    <row r="39" spans="1:14" ht="12.95" customHeight="1" x14ac:dyDescent="0.2">
      <c r="B39" s="436" t="s">
        <v>83</v>
      </c>
      <c r="C39" s="499"/>
      <c r="D39" s="499"/>
      <c r="E39" s="499"/>
      <c r="F39" s="500"/>
      <c r="G39" s="228">
        <f t="shared" ref="G39:L39" si="2">SUM(G22:G37)</f>
        <v>17.480222717109775</v>
      </c>
      <c r="H39" s="228">
        <f t="shared" si="2"/>
        <v>22.775900166370885</v>
      </c>
      <c r="I39" s="228">
        <f t="shared" si="2"/>
        <v>46.241979125662091</v>
      </c>
      <c r="J39" s="228">
        <f t="shared" si="2"/>
        <v>27.643348957977565</v>
      </c>
      <c r="K39" s="228">
        <f t="shared" si="2"/>
        <v>0</v>
      </c>
      <c r="L39" s="293">
        <f t="shared" si="2"/>
        <v>114.14145096712033</v>
      </c>
    </row>
    <row r="45" spans="1:14" x14ac:dyDescent="0.2">
      <c r="J45" s="233"/>
      <c r="K45" s="233"/>
      <c r="L45" s="233"/>
    </row>
    <row r="46" spans="1:14" x14ac:dyDescent="0.2">
      <c r="B46" s="15"/>
      <c r="G46" s="234"/>
      <c r="H46" s="15"/>
      <c r="J46" s="34"/>
      <c r="K46" s="34"/>
      <c r="L46" s="34"/>
    </row>
    <row r="47" spans="1:14" ht="12" customHeight="1" x14ac:dyDescent="0.2">
      <c r="B47" s="15"/>
      <c r="D47" s="15"/>
      <c r="E47" s="15"/>
      <c r="G47" s="15"/>
      <c r="H47" s="15"/>
      <c r="J47" s="277"/>
      <c r="K47" s="277"/>
      <c r="L47" s="277"/>
      <c r="M47" s="15"/>
    </row>
    <row r="48" spans="1:14" ht="12.75" hidden="1" customHeight="1" x14ac:dyDescent="0.2">
      <c r="B48" s="15" t="s">
        <v>51</v>
      </c>
      <c r="C48" s="234" t="s">
        <v>330</v>
      </c>
      <c r="D48" s="15" t="s">
        <v>349</v>
      </c>
      <c r="E48" s="15"/>
      <c r="H48" s="15"/>
      <c r="J48" s="277"/>
      <c r="K48" s="277"/>
      <c r="L48" s="277"/>
      <c r="M48" s="15"/>
    </row>
    <row r="49" spans="2:14" ht="12.75" hidden="1" customHeight="1" x14ac:dyDescent="0.2">
      <c r="B49" s="15" t="s">
        <v>90</v>
      </c>
      <c r="D49" s="15" t="s">
        <v>340</v>
      </c>
      <c r="E49" s="15"/>
      <c r="G49" s="234">
        <f>IF(C16=B59,'Machinery Calculations (SB)'!B37,'Machinery Calculations (SB)'!C44)</f>
        <v>0.5</v>
      </c>
      <c r="J49" s="277"/>
      <c r="K49" s="277"/>
      <c r="L49" s="277"/>
    </row>
    <row r="50" spans="2:14" ht="12.75" hidden="1" customHeight="1" x14ac:dyDescent="0.2">
      <c r="B50" s="15"/>
      <c r="D50" s="15" t="s">
        <v>341</v>
      </c>
      <c r="E50" s="15"/>
      <c r="G50">
        <f>IF(C16=B59,'Machinery Calculations (SB)'!B36,'Machinery Calculations (SB)'!C43)</f>
        <v>0.5</v>
      </c>
      <c r="H50" s="15"/>
      <c r="J50" s="277"/>
      <c r="K50" s="277"/>
      <c r="L50" s="277"/>
    </row>
    <row r="51" spans="2:14" ht="12.75" hidden="1" customHeight="1" x14ac:dyDescent="0.2">
      <c r="B51" s="15" t="s">
        <v>79</v>
      </c>
      <c r="C51" s="234" t="s">
        <v>331</v>
      </c>
      <c r="D51" s="15" t="s">
        <v>351</v>
      </c>
      <c r="E51" s="15"/>
      <c r="H51" s="15"/>
      <c r="J51" s="277"/>
      <c r="K51" s="277"/>
      <c r="L51" s="277"/>
    </row>
    <row r="52" spans="2:14" ht="12.75" hidden="1" customHeight="1" x14ac:dyDescent="0.2">
      <c r="B52" s="15" t="s">
        <v>80</v>
      </c>
      <c r="D52" s="15" t="s">
        <v>350</v>
      </c>
      <c r="E52" s="15"/>
      <c r="H52" s="15"/>
      <c r="J52" s="277"/>
      <c r="K52" s="277"/>
      <c r="L52" s="277"/>
    </row>
    <row r="53" spans="2:14" ht="12.75" hidden="1" customHeight="1" x14ac:dyDescent="0.2">
      <c r="B53" s="15" t="s">
        <v>246</v>
      </c>
      <c r="C53" s="234" t="s">
        <v>335</v>
      </c>
      <c r="D53" s="15" t="s">
        <v>345</v>
      </c>
      <c r="E53" s="15"/>
      <c r="H53" s="15"/>
      <c r="J53" s="277"/>
      <c r="K53" s="277"/>
      <c r="L53" s="277"/>
    </row>
    <row r="54" spans="2:14" ht="12.75" hidden="1" customHeight="1" x14ac:dyDescent="0.2">
      <c r="B54" s="15"/>
      <c r="C54" s="234"/>
      <c r="D54" s="15" t="s">
        <v>342</v>
      </c>
      <c r="E54" s="15"/>
      <c r="H54" s="15"/>
      <c r="J54" s="277"/>
      <c r="K54" s="277"/>
      <c r="L54" s="277"/>
    </row>
    <row r="55" spans="2:14" ht="12.75" hidden="1" customHeight="1" x14ac:dyDescent="0.2">
      <c r="B55" s="15" t="s">
        <v>213</v>
      </c>
      <c r="C55" s="15"/>
      <c r="D55" s="15" t="s">
        <v>343</v>
      </c>
      <c r="E55" s="15"/>
      <c r="G55" s="234"/>
      <c r="H55" s="15"/>
      <c r="J55" s="277"/>
      <c r="K55" s="277"/>
      <c r="L55" s="277"/>
    </row>
    <row r="56" spans="2:14" ht="12.75" hidden="1" customHeight="1" x14ac:dyDescent="0.2">
      <c r="B56" s="15" t="s">
        <v>214</v>
      </c>
      <c r="C56" s="15"/>
      <c r="D56" s="15" t="s">
        <v>344</v>
      </c>
      <c r="E56" s="15"/>
      <c r="G56" s="15"/>
      <c r="H56" s="15"/>
      <c r="J56" s="277"/>
      <c r="K56" s="277"/>
      <c r="L56" s="277"/>
      <c r="M56" s="15"/>
    </row>
    <row r="57" spans="2:14" ht="12.75" hidden="1" customHeight="1" x14ac:dyDescent="0.2">
      <c r="C57" s="234" t="s">
        <v>336</v>
      </c>
      <c r="D57" s="15" t="s">
        <v>345</v>
      </c>
      <c r="E57" s="15"/>
      <c r="G57" s="15"/>
      <c r="H57" s="15"/>
      <c r="J57" s="277"/>
      <c r="K57" s="277"/>
      <c r="L57" s="277"/>
      <c r="M57" s="15"/>
    </row>
    <row r="58" spans="2:14" ht="12.75" hidden="1" customHeight="1" x14ac:dyDescent="0.2">
      <c r="B58" s="15" t="s">
        <v>217</v>
      </c>
      <c r="C58" s="15"/>
      <c r="D58" s="15" t="s">
        <v>342</v>
      </c>
      <c r="E58" s="15"/>
      <c r="G58" s="15"/>
      <c r="H58" s="15"/>
      <c r="J58" s="277"/>
      <c r="K58" s="277"/>
      <c r="L58" s="277"/>
    </row>
    <row r="59" spans="2:14" ht="12.75" hidden="1" customHeight="1" x14ac:dyDescent="0.2">
      <c r="B59" s="15" t="s">
        <v>227</v>
      </c>
      <c r="D59" s="15" t="s">
        <v>343</v>
      </c>
      <c r="E59" s="15"/>
      <c r="G59" s="15"/>
      <c r="H59" s="15"/>
      <c r="J59" s="277"/>
      <c r="K59" s="277"/>
      <c r="L59" s="277"/>
    </row>
    <row r="60" spans="2:14" ht="12.75" hidden="1" customHeight="1" x14ac:dyDescent="0.2">
      <c r="C60" s="233"/>
      <c r="D60" s="15" t="s">
        <v>344</v>
      </c>
      <c r="E60" s="15"/>
      <c r="H60" s="15"/>
      <c r="J60" s="277"/>
      <c r="K60" s="277"/>
      <c r="L60" s="277"/>
      <c r="M60" s="15"/>
    </row>
    <row r="61" spans="2:14" ht="12.75" hidden="1" customHeight="1" x14ac:dyDescent="0.2">
      <c r="B61" s="15"/>
      <c r="G61" s="15"/>
      <c r="J61" s="277"/>
      <c r="K61" s="277"/>
      <c r="L61" s="277"/>
    </row>
    <row r="62" spans="2:14" ht="12.75" hidden="1" customHeight="1" x14ac:dyDescent="0.2">
      <c r="B62" s="15"/>
      <c r="H62" s="15"/>
      <c r="J62" s="277"/>
      <c r="K62" s="277"/>
      <c r="L62" s="277"/>
      <c r="N62" s="15"/>
    </row>
    <row r="63" spans="2:14" ht="12.75" hidden="1" customHeight="1" x14ac:dyDescent="0.2">
      <c r="B63" s="15" t="s">
        <v>426</v>
      </c>
      <c r="H63" s="15"/>
      <c r="J63" s="277"/>
      <c r="K63" s="277"/>
      <c r="L63" s="277"/>
      <c r="N63" s="15"/>
    </row>
    <row r="64" spans="2:14" ht="13.5" hidden="1" customHeight="1" x14ac:dyDescent="0.2">
      <c r="B64" s="15" t="s">
        <v>348</v>
      </c>
      <c r="H64" s="15"/>
      <c r="J64" s="277"/>
      <c r="K64" s="277"/>
      <c r="L64" s="277"/>
      <c r="N64" s="15"/>
    </row>
    <row r="65" spans="8:12" x14ac:dyDescent="0.2">
      <c r="H65" s="15"/>
      <c r="J65" s="277"/>
      <c r="K65" s="277"/>
      <c r="L65" s="277"/>
    </row>
    <row r="66" spans="8:12" x14ac:dyDescent="0.2">
      <c r="H66" s="15"/>
      <c r="J66" s="277"/>
      <c r="K66" s="277"/>
      <c r="L66" s="277"/>
    </row>
  </sheetData>
  <sheetProtection algorithmName="SHA-512" hashValue="i6jUzQXsOd7ISxKNfeQkaQkw/mNvcjUOJCHU/+tf8mE/wYQ16abX+Nj1BrshesTavqMpx54VH4h8BlHfc/i/pw==" saltValue="5YSGIzGE8X+LLbXQAZr79g==" spinCount="100000" sheet="1" objects="1" scenarios="1" formatCells="0" formatColumns="0" formatRows="0"/>
  <mergeCells count="37">
    <mergeCell ref="B38:L38"/>
    <mergeCell ref="E11:L11"/>
    <mergeCell ref="C20:D20"/>
    <mergeCell ref="C19:D19"/>
    <mergeCell ref="E10:L10"/>
    <mergeCell ref="B29:L29"/>
    <mergeCell ref="E12:L12"/>
    <mergeCell ref="C37:D37"/>
    <mergeCell ref="E7:L7"/>
    <mergeCell ref="E8:L8"/>
    <mergeCell ref="E9:L9"/>
    <mergeCell ref="E35:L35"/>
    <mergeCell ref="C7:D7"/>
    <mergeCell ref="C8:D8"/>
    <mergeCell ref="G30:L30"/>
    <mergeCell ref="C6:D6"/>
    <mergeCell ref="E4:L4"/>
    <mergeCell ref="C4:D4"/>
    <mergeCell ref="B3:L3"/>
    <mergeCell ref="E5:L5"/>
    <mergeCell ref="E6:L6"/>
    <mergeCell ref="B2:L2"/>
    <mergeCell ref="B39:F39"/>
    <mergeCell ref="B18:L18"/>
    <mergeCell ref="C9:D9"/>
    <mergeCell ref="C35:D35"/>
    <mergeCell ref="C36:D36"/>
    <mergeCell ref="G16:L16"/>
    <mergeCell ref="B14:L14"/>
    <mergeCell ref="B15:L15"/>
    <mergeCell ref="G17:L17"/>
    <mergeCell ref="C21:D21"/>
    <mergeCell ref="C10:D10"/>
    <mergeCell ref="E20:E21"/>
    <mergeCell ref="C17:E17"/>
    <mergeCell ref="C16:E16"/>
    <mergeCell ref="C5:D5"/>
  </mergeCells>
  <conditionalFormatting sqref="B27:L27 B33:L34 N33:N34">
    <cfRule type="expression" dxfId="17" priority="2">
      <formula>$C$16=$B$58</formula>
    </cfRule>
  </conditionalFormatting>
  <conditionalFormatting sqref="D11:D12">
    <cfRule type="expression" dxfId="14" priority="267">
      <formula>$C$10=$B$64</formula>
    </cfRule>
  </conditionalFormatting>
  <conditionalFormatting sqref="D31:E31">
    <cfRule type="expression" dxfId="13" priority="14">
      <formula>$B$31=$D$48</formula>
    </cfRule>
  </conditionalFormatting>
  <conditionalFormatting sqref="D32:E32">
    <cfRule type="expression" dxfId="12" priority="13">
      <formula>$B$32=$D$51</formula>
    </cfRule>
  </conditionalFormatting>
  <conditionalFormatting sqref="D33:E33">
    <cfRule type="expression" dxfId="11" priority="12">
      <formula>$B$33=$D$53</formula>
    </cfRule>
  </conditionalFormatting>
  <conditionalFormatting sqref="D34:E34">
    <cfRule type="expression" dxfId="10" priority="11">
      <formula>$B$34=$D$57</formula>
    </cfRule>
  </conditionalFormatting>
  <conditionalFormatting sqref="E22:E28 E31:E34">
    <cfRule type="expression" dxfId="9" priority="7">
      <formula>$C$17=$B$64</formula>
    </cfRule>
  </conditionalFormatting>
  <conditionalFormatting sqref="G20">
    <cfRule type="expression" dxfId="7" priority="263">
      <formula>$G$19=$B$53</formula>
    </cfRule>
  </conditionalFormatting>
  <conditionalFormatting sqref="G34:L34 N34">
    <cfRule type="expression" dxfId="6" priority="261">
      <formula>$B$34=$D$57</formula>
    </cfRule>
    <cfRule type="expression" dxfId="5" priority="270">
      <formula>$B$34=$B$33</formula>
    </cfRule>
  </conditionalFormatting>
  <conditionalFormatting sqref="H20">
    <cfRule type="expression" dxfId="4" priority="264">
      <formula>$H$19=$B$53</formula>
    </cfRule>
  </conditionalFormatting>
  <conditionalFormatting sqref="I20">
    <cfRule type="expression" dxfId="3" priority="265">
      <formula>$I$19=$B$53</formula>
    </cfRule>
  </conditionalFormatting>
  <conditionalFormatting sqref="J20:K20">
    <cfRule type="expression" dxfId="2" priority="266">
      <formula>$J$19=$B$53</formula>
    </cfRule>
  </conditionalFormatting>
  <conditionalFormatting sqref="K19:K20 D22:E28 K22:K28 D31:E34 K31:K34 K36:K37 K39">
    <cfRule type="expression" dxfId="1" priority="1">
      <formula>$C$17=$B$64</formula>
    </cfRule>
  </conditionalFormatting>
  <dataValidations xWindow="311" yWindow="592" count="9">
    <dataValidation type="list" allowBlank="1" showInputMessage="1" showErrorMessage="1" sqref="B31" xr:uid="{00000000-0002-0000-0800-000000000000}">
      <formula1>$D$48:$D$50</formula1>
    </dataValidation>
    <dataValidation type="list" allowBlank="1" showInputMessage="1" showErrorMessage="1" sqref="B33" xr:uid="{00000000-0002-0000-0800-000001000000}">
      <formula1>$D$53:$D$56</formula1>
    </dataValidation>
    <dataValidation type="list" allowBlank="1" showInputMessage="1" showErrorMessage="1" sqref="B34" xr:uid="{00000000-0002-0000-0800-000002000000}">
      <formula1>$D$57:$D$60</formula1>
    </dataValidation>
    <dataValidation type="list" allowBlank="1" showInputMessage="1" showErrorMessage="1" sqref="B32" xr:uid="{00000000-0002-0000-0800-000003000000}">
      <formula1>$D$51:$D$52</formula1>
    </dataValidation>
    <dataValidation type="list" allowBlank="1" showInputMessage="1" showErrorMessage="1" sqref="G19:K19" xr:uid="{00000000-0002-0000-0800-000004000000}">
      <formula1>$B$51:$B$53</formula1>
    </dataValidation>
    <dataValidation type="list" allowBlank="1" showInputMessage="1" showErrorMessage="1" sqref="C10:D10 C17:E17" xr:uid="{00000000-0002-0000-0800-000005000000}">
      <formula1>$B$63:$B$64</formula1>
    </dataValidation>
    <dataValidation type="list" allowBlank="1" showInputMessage="1" showErrorMessage="1" sqref="C16:E16" xr:uid="{00000000-0002-0000-0800-000006000000}">
      <formula1>$B$58:$B$59</formula1>
    </dataValidation>
    <dataValidation type="list" allowBlank="1" showInputMessage="1" showErrorMessage="1" sqref="E22:E28 E31:E34" xr:uid="{00000000-0002-0000-0800-000007000000}">
      <formula1>$B$48:$B$49</formula1>
    </dataValidation>
    <dataValidation allowBlank="1" showInputMessage="1" showErrorMessage="1" prompt="The data in this cell is linked to and can be changed on the Machinery(Corn) sheet. " sqref="C5:D5 C6:D6 C7:D7 C8:D8 C9:D9" xr:uid="{00000000-0002-0000-0800-000009000000}"/>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6" id="{CF6C1210-B2FE-4B74-8821-994254A0F0F2}">
            <xm:f>Soybeans!$I$21=Soybeans!$D$61</xm:f>
            <x14:dxf>
              <font>
                <color theme="0"/>
              </font>
              <fill>
                <patternFill patternType="none">
                  <bgColor auto="1"/>
                </patternFill>
              </fill>
              <border>
                <left/>
                <right/>
                <top/>
                <bottom/>
                <vertical/>
                <horizontal/>
              </border>
            </x14:dxf>
          </x14:cfRule>
          <xm:sqref>B2:L12 B15:N39</xm:sqref>
        </x14:conditionalFormatting>
        <x14:conditionalFormatting xmlns:xm="http://schemas.microsoft.com/office/excel/2006/main">
          <x14:cfRule type="expression" priority="10" id="{0F17AFD0-87DE-4D35-BB31-BB9EB5BE4E68}">
            <xm:f>Soybeans!$I$21=Soybeans!$D$61</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396" id="{11E76BD4-743F-42F6-A870-7E7EC8DF213C}">
            <xm:f>Soybeans!$C$27=Soybeans!$C$74</xm:f>
            <x14:dxf>
              <font>
                <color theme="0"/>
              </font>
            </x14:dxf>
          </x14:cfRule>
          <x14:cfRule type="expression" priority="397" id="{BE22AD7E-95EE-49F2-A022-DD3AEEFA5088}">
            <xm:f>Soybeans!$D$26=Soybeans!$C$83</xm:f>
            <x14:dxf>
              <font>
                <color theme="0"/>
              </font>
            </x14:dxf>
          </x14:cfRule>
          <xm:sqref>B28:L28</xm:sqref>
        </x14:conditionalFormatting>
        <x14:conditionalFormatting xmlns:xm="http://schemas.microsoft.com/office/excel/2006/main">
          <x14:cfRule type="expression" priority="420" id="{9F3BC653-2A05-47EB-B5A7-AEA386ED09CC}">
            <xm:f>Corn!$I$21=Corn!$D$59</xm:f>
            <x14:dxf>
              <font>
                <color theme="0"/>
              </font>
              <fill>
                <patternFill patternType="none">
                  <bgColor auto="1"/>
                </patternFill>
              </fill>
              <border>
                <left/>
                <right/>
                <top/>
                <bottom/>
                <vertical/>
                <horizontal/>
              </border>
            </x14:dxf>
          </x14:cfRule>
          <xm:sqref>E10:L10 B10:B12 B36:B37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23F7ED51B5A441A76AF1E753093D2D" ma:contentTypeVersion="15" ma:contentTypeDescription="Create a new document." ma:contentTypeScope="" ma:versionID="2bcfd2999f9e0821e8060c59c2282cbd">
  <xsd:schema xmlns:xsd="http://www.w3.org/2001/XMLSchema" xmlns:xs="http://www.w3.org/2001/XMLSchema" xmlns:p="http://schemas.microsoft.com/office/2006/metadata/properties" xmlns:ns3="2a9aa20c-04e2-4f51-9be2-db52b918ccc4" xmlns:ns4="265668d2-f0cf-451c-b255-8c6e29362e04" targetNamespace="http://schemas.microsoft.com/office/2006/metadata/properties" ma:root="true" ma:fieldsID="565271fbc8e7d929586faca6d7ed7a06" ns3:_="" ns4:_="">
    <xsd:import namespace="2a9aa20c-04e2-4f51-9be2-db52b918ccc4"/>
    <xsd:import namespace="265668d2-f0cf-451c-b255-8c6e29362e0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aa20c-04e2-4f51-9be2-db52b918cc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5668d2-f0cf-451c-b255-8c6e29362e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a9aa20c-04e2-4f51-9be2-db52b918ccc4" xsi:nil="true"/>
  </documentManagement>
</p:properties>
</file>

<file path=customXml/itemProps1.xml><?xml version="1.0" encoding="utf-8"?>
<ds:datastoreItem xmlns:ds="http://schemas.openxmlformats.org/officeDocument/2006/customXml" ds:itemID="{C64115D0-EA85-4715-BA63-F3C6604CC042}">
  <ds:schemaRefs>
    <ds:schemaRef ds:uri="http://schemas.microsoft.com/sharepoint/v3/contenttype/forms"/>
  </ds:schemaRefs>
</ds:datastoreItem>
</file>

<file path=customXml/itemProps2.xml><?xml version="1.0" encoding="utf-8"?>
<ds:datastoreItem xmlns:ds="http://schemas.openxmlformats.org/officeDocument/2006/customXml" ds:itemID="{85BE09AA-A2A6-4278-9E4B-F4390172B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9aa20c-04e2-4f51-9be2-db52b918ccc4"/>
    <ds:schemaRef ds:uri="265668d2-f0cf-451c-b255-8c6e2936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1BB64-C8D7-43C7-885F-BA8830216D68}">
  <ds:schemaRef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265668d2-f0cf-451c-b255-8c6e29362e04"/>
    <ds:schemaRef ds:uri="http://schemas.microsoft.com/office/2006/documentManagement/types"/>
    <ds:schemaRef ds:uri="http://schemas.openxmlformats.org/package/2006/metadata/core-properties"/>
    <ds:schemaRef ds:uri="2a9aa20c-04e2-4f51-9be2-db52b918ccc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Trucking</vt:lpstr>
      <vt:lpstr>Corn</vt:lpstr>
      <vt:lpstr>Machinery Calculations (Corn)</vt:lpstr>
      <vt:lpstr>Machinery(Corn)</vt:lpstr>
      <vt:lpstr>Storage(Corn&amp;SB)</vt:lpstr>
      <vt:lpstr>Summary(Corn)</vt:lpstr>
      <vt:lpstr>Soybeans</vt:lpstr>
      <vt:lpstr>Machinery(Soybeans)</vt:lpstr>
      <vt:lpstr>Machinery Calculations (SB)</vt:lpstr>
      <vt:lpstr>Summary(Soybeans)</vt:lpstr>
      <vt:lpstr>SensitivityTableNotes</vt:lpstr>
      <vt:lpstr>2020Notes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Atherton, Nicole C.</cp:lastModifiedBy>
  <cp:lastPrinted>2021-07-30T15:21:17Z</cp:lastPrinted>
  <dcterms:created xsi:type="dcterms:W3CDTF">2003-09-21T12:28:39Z</dcterms:created>
  <dcterms:modified xsi:type="dcterms:W3CDTF">2023-07-31T18:13:23Z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0x010100E523F7ED51B5A441A76AF1E753093D2D</vt:lpwstr>
  </property>
</Properties>
</file>