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D:\Transfer Folder (2)\Budgets\Corn and Soybeans\2022 Budgets\"/>
    </mc:Choice>
  </mc:AlternateContent>
  <xr:revisionPtr revIDLastSave="0" documentId="13_ncr:1_{85C77BFD-28DD-40C9-8447-A61FDC2F7402}" xr6:coauthVersionLast="47" xr6:coauthVersionMax="47" xr10:uidLastSave="{00000000-0000-0000-0000-000000000000}"/>
  <workbookProtection workbookAlgorithmName="SHA-512" workbookHashValue="l4xCjpr1SnmY9nTzZG9qR/iDkYyMYm4cf3E7VLqilGLJh1BbIZjGhaul1Yu+36RqsuZIH3IKNgMgEoS4lzeqSA==" workbookSaltValue="saG3Rn9+a2NwQeU+g8embQ==" workbookSpinCount="100000" lockStructure="1"/>
  <bookViews>
    <workbookView xWindow="-108" yWindow="-108" windowWidth="23256" windowHeight="12576" tabRatio="854" activeTab="4" xr2:uid="{00000000-000D-0000-FFFF-FFFF00000000}"/>
  </bookViews>
  <sheets>
    <sheet name="Cover" sheetId="14" r:id="rId1"/>
    <sheet name="Instructions" sheetId="15" r:id="rId2"/>
    <sheet name="Machinery Calculations" sheetId="13" r:id="rId3"/>
    <sheet name="Trucking" sheetId="20" state="hidden" r:id="rId4"/>
    <sheet name="No-Till Corn" sheetId="7" r:id="rId5"/>
    <sheet name="Machinery (Corn No-Till)" sheetId="4" state="hidden" r:id="rId6"/>
    <sheet name="Conv. Tillage Corn" sheetId="16" r:id="rId7"/>
    <sheet name="Machinery (Tillage Corn)" sheetId="17" state="hidden" r:id="rId8"/>
    <sheet name="No-Till Soybeans" sheetId="18" r:id="rId9"/>
    <sheet name="Machinery Soybeans" sheetId="19" state="hidden" r:id="rId10"/>
    <sheet name="Notes-Questions" sheetId="6" state="hidden" r:id="rId11"/>
  </sheets>
  <calcPr calcId="191029" iterate="1" iterateCount="1"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0" l="1"/>
  <c r="B4" i="4"/>
  <c r="B4" i="19"/>
  <c r="B2" i="17" l="1"/>
  <c r="B25" i="20" l="1"/>
  <c r="F25" i="20" s="1"/>
  <c r="C9" i="20"/>
  <c r="F23" i="20"/>
  <c r="C23" i="20"/>
  <c r="D23" i="20" s="1"/>
  <c r="F22" i="20"/>
  <c r="C22" i="20"/>
  <c r="D22" i="20" s="1"/>
  <c r="F21" i="20"/>
  <c r="C21" i="20"/>
  <c r="D21" i="20" s="1"/>
  <c r="F20" i="20"/>
  <c r="C20" i="20"/>
  <c r="D20" i="20" s="1"/>
  <c r="F19" i="20"/>
  <c r="C19" i="20"/>
  <c r="D19" i="20" s="1"/>
  <c r="F18" i="20"/>
  <c r="C18" i="20"/>
  <c r="D18" i="20" s="1"/>
  <c r="C25" i="20" l="1"/>
  <c r="D25" i="20" s="1"/>
  <c r="G55" i="4"/>
  <c r="G55" i="19"/>
  <c r="H55" i="19" s="1"/>
  <c r="E25" i="20"/>
  <c r="G25" i="20" s="1"/>
  <c r="G55" i="17"/>
  <c r="H19" i="20"/>
  <c r="I19" i="20" s="1"/>
  <c r="H23" i="20"/>
  <c r="I23" i="20" s="1"/>
  <c r="H18" i="20"/>
  <c r="I18" i="20" s="1"/>
  <c r="H22" i="20"/>
  <c r="I22" i="20" s="1"/>
  <c r="H55" i="17"/>
  <c r="H21" i="20"/>
  <c r="I21" i="20" s="1"/>
  <c r="H55" i="4"/>
  <c r="H20" i="20"/>
  <c r="I20" i="20" s="1"/>
  <c r="H25" i="20"/>
  <c r="I25" i="20" s="1"/>
  <c r="E18" i="20"/>
  <c r="G18" i="20" s="1"/>
  <c r="E19" i="20"/>
  <c r="G19" i="20" s="1"/>
  <c r="E20" i="20"/>
  <c r="G20" i="20" s="1"/>
  <c r="E21" i="20"/>
  <c r="G21" i="20" s="1"/>
  <c r="E22" i="20"/>
  <c r="G22" i="20" s="1"/>
  <c r="E23" i="20"/>
  <c r="G23" i="20" s="1"/>
  <c r="F55" i="4" l="1"/>
  <c r="F55" i="19"/>
  <c r="F55" i="17"/>
  <c r="B3" i="4"/>
  <c r="I7" i="18" l="1"/>
  <c r="I6" i="18"/>
  <c r="I7" i="16"/>
  <c r="I6" i="16"/>
  <c r="I6" i="7"/>
  <c r="I7" i="7"/>
  <c r="I5" i="16"/>
  <c r="I8" i="16" l="1"/>
  <c r="O14" i="4"/>
  <c r="O37" i="4" s="1"/>
  <c r="O36" i="4"/>
  <c r="O15" i="4"/>
  <c r="O41" i="4"/>
  <c r="O43" i="4"/>
  <c r="H54" i="4"/>
  <c r="B8" i="4"/>
  <c r="I55" i="4" s="1"/>
  <c r="H63" i="4"/>
  <c r="O66" i="4"/>
  <c r="P14" i="4"/>
  <c r="B7" i="4"/>
  <c r="P15" i="4"/>
  <c r="P74" i="4"/>
  <c r="Q14" i="4"/>
  <c r="Q73" i="4" s="1"/>
  <c r="Q24" i="4"/>
  <c r="Q37" i="4"/>
  <c r="B6" i="4"/>
  <c r="Q15" i="4"/>
  <c r="Q53" i="4"/>
  <c r="Q60" i="4"/>
  <c r="R14" i="4"/>
  <c r="R15" i="4"/>
  <c r="S14" i="4"/>
  <c r="S43" i="4" s="1"/>
  <c r="S21" i="4"/>
  <c r="S15" i="4"/>
  <c r="S66" i="4"/>
  <c r="S77" i="4"/>
  <c r="T14" i="4"/>
  <c r="T69" i="4" s="1"/>
  <c r="B8" i="19"/>
  <c r="I55" i="19" s="1"/>
  <c r="B8" i="17"/>
  <c r="I55" i="17" s="1"/>
  <c r="B4" i="17"/>
  <c r="O14" i="17"/>
  <c r="B3" i="17"/>
  <c r="H40" i="17" s="1"/>
  <c r="O15" i="17"/>
  <c r="O26" i="17"/>
  <c r="R14" i="17"/>
  <c r="R20" i="17" s="1"/>
  <c r="R15" i="17"/>
  <c r="S14" i="17"/>
  <c r="S15" i="17"/>
  <c r="S48" i="17"/>
  <c r="B7" i="17"/>
  <c r="B6" i="17"/>
  <c r="T14" i="17"/>
  <c r="T42" i="17" s="1"/>
  <c r="T19" i="17"/>
  <c r="T27" i="17"/>
  <c r="P14" i="17"/>
  <c r="P15" i="17"/>
  <c r="P22" i="17"/>
  <c r="P33" i="17"/>
  <c r="P35" i="17"/>
  <c r="P41" i="17"/>
  <c r="P48" i="17"/>
  <c r="P52" i="17"/>
  <c r="P60" i="17"/>
  <c r="P73" i="17"/>
  <c r="P74" i="17"/>
  <c r="Q14" i="17"/>
  <c r="Q15" i="17"/>
  <c r="Q52" i="17"/>
  <c r="B3" i="19"/>
  <c r="H65" i="19" s="1"/>
  <c r="B7" i="19"/>
  <c r="B6" i="19"/>
  <c r="H33" i="17"/>
  <c r="H43" i="4"/>
  <c r="H26" i="4"/>
  <c r="O14" i="19"/>
  <c r="O21" i="19" s="1"/>
  <c r="O15" i="19"/>
  <c r="O45" i="19"/>
  <c r="O48" i="19"/>
  <c r="O69" i="19"/>
  <c r="O78" i="19"/>
  <c r="P14" i="19"/>
  <c r="P66" i="19" s="1"/>
  <c r="P21" i="19"/>
  <c r="P27" i="19"/>
  <c r="P28" i="19"/>
  <c r="P37" i="19"/>
  <c r="P40" i="19"/>
  <c r="P15" i="19"/>
  <c r="P44" i="19"/>
  <c r="P48" i="19"/>
  <c r="P58" i="19"/>
  <c r="P59" i="19"/>
  <c r="Q14" i="19"/>
  <c r="Q15" i="19"/>
  <c r="R14" i="19"/>
  <c r="R21" i="19"/>
  <c r="R28" i="19"/>
  <c r="R33" i="19"/>
  <c r="R15" i="19"/>
  <c r="R45" i="19"/>
  <c r="R64" i="19"/>
  <c r="R66" i="19"/>
  <c r="R78" i="19"/>
  <c r="S14" i="19"/>
  <c r="S77" i="19" s="1"/>
  <c r="S15" i="19"/>
  <c r="S69" i="19"/>
  <c r="T14" i="19"/>
  <c r="T72" i="19" s="1"/>
  <c r="T25" i="19"/>
  <c r="T40" i="19"/>
  <c r="T44" i="19"/>
  <c r="T48" i="19"/>
  <c r="T64" i="19"/>
  <c r="I24" i="18"/>
  <c r="T80" i="19" s="1"/>
  <c r="I23" i="18"/>
  <c r="B5" i="19"/>
  <c r="I34" i="18"/>
  <c r="I11" i="18"/>
  <c r="I12" i="18"/>
  <c r="I13" i="18"/>
  <c r="I14" i="18"/>
  <c r="I15" i="18"/>
  <c r="I16" i="18"/>
  <c r="I17" i="18"/>
  <c r="I18" i="18"/>
  <c r="I25" i="18"/>
  <c r="I26" i="18"/>
  <c r="I27" i="18"/>
  <c r="I36" i="18"/>
  <c r="I37" i="18"/>
  <c r="I5" i="18"/>
  <c r="I8" i="18" s="1"/>
  <c r="I11" i="16"/>
  <c r="I25" i="16"/>
  <c r="T80" i="17" s="1"/>
  <c r="I24" i="16"/>
  <c r="B5" i="17"/>
  <c r="I36" i="16" s="1"/>
  <c r="I27" i="16"/>
  <c r="I28" i="16"/>
  <c r="I12" i="16"/>
  <c r="I13" i="16"/>
  <c r="I14" i="16"/>
  <c r="I15" i="16"/>
  <c r="I16" i="16"/>
  <c r="I17" i="16"/>
  <c r="I18" i="16"/>
  <c r="I19" i="16"/>
  <c r="I26" i="16"/>
  <c r="I29" i="16"/>
  <c r="I38" i="16"/>
  <c r="I39" i="16"/>
  <c r="B5" i="4"/>
  <c r="I36" i="7"/>
  <c r="I25" i="7"/>
  <c r="T80" i="4" s="1"/>
  <c r="I24" i="7"/>
  <c r="I38" i="7"/>
  <c r="I39" i="7"/>
  <c r="I11" i="7"/>
  <c r="I12" i="7"/>
  <c r="I13" i="7"/>
  <c r="I14" i="7"/>
  <c r="I15" i="7"/>
  <c r="I16" i="7"/>
  <c r="I17" i="7"/>
  <c r="I18" i="7"/>
  <c r="I19" i="7"/>
  <c r="I26" i="7"/>
  <c r="I27" i="7"/>
  <c r="I28" i="7"/>
  <c r="I29" i="7"/>
  <c r="I5" i="7"/>
  <c r="I8" i="7" s="1"/>
  <c r="B40" i="18"/>
  <c r="B41" i="18"/>
  <c r="B42" i="18"/>
  <c r="T15" i="19"/>
  <c r="B42" i="16"/>
  <c r="B43" i="16"/>
  <c r="B44" i="16"/>
  <c r="T15" i="17"/>
  <c r="B44" i="7"/>
  <c r="B43" i="7"/>
  <c r="T15" i="4"/>
  <c r="B42" i="7"/>
  <c r="Q48" i="19"/>
  <c r="Q20" i="19"/>
  <c r="Q65" i="19"/>
  <c r="S25" i="4"/>
  <c r="S36" i="4"/>
  <c r="S59" i="4"/>
  <c r="S28" i="4"/>
  <c r="S37" i="4"/>
  <c r="S42" i="4"/>
  <c r="S45" i="4"/>
  <c r="S24" i="4"/>
  <c r="S48" i="4"/>
  <c r="S26" i="4"/>
  <c r="S64" i="19"/>
  <c r="Q24" i="19"/>
  <c r="O24" i="19"/>
  <c r="O28" i="19"/>
  <c r="O35" i="19"/>
  <c r="O44" i="19"/>
  <c r="O58" i="19"/>
  <c r="O64" i="19"/>
  <c r="O74" i="19"/>
  <c r="O49" i="19"/>
  <c r="O31" i="19"/>
  <c r="O37" i="19"/>
  <c r="O53" i="19"/>
  <c r="O60" i="19"/>
  <c r="O67" i="19"/>
  <c r="S53" i="4"/>
  <c r="S34" i="4"/>
  <c r="P31" i="4"/>
  <c r="P78" i="4"/>
  <c r="P68" i="4"/>
  <c r="P64" i="4"/>
  <c r="P26" i="4"/>
  <c r="Q53" i="17"/>
  <c r="T41" i="19"/>
  <c r="T53" i="19"/>
  <c r="R20" i="19"/>
  <c r="R25" i="19"/>
  <c r="R49" i="19"/>
  <c r="R53" i="19"/>
  <c r="Q21" i="4"/>
  <c r="Q41" i="4"/>
  <c r="Q48" i="4"/>
  <c r="Q65" i="4"/>
  <c r="Q19" i="4"/>
  <c r="Q28" i="4"/>
  <c r="Q45" i="4"/>
  <c r="Q78" i="4"/>
  <c r="T48" i="4"/>
  <c r="O53" i="4"/>
  <c r="O28" i="4"/>
  <c r="O65" i="19" l="1"/>
  <c r="R33" i="17"/>
  <c r="R27" i="17"/>
  <c r="Q64" i="4"/>
  <c r="Q58" i="4"/>
  <c r="Q52" i="4"/>
  <c r="Q36" i="4"/>
  <c r="O34" i="19"/>
  <c r="Q27" i="4"/>
  <c r="O33" i="19"/>
  <c r="T74" i="17"/>
  <c r="Q31" i="4"/>
  <c r="Q25" i="4"/>
  <c r="O22" i="19"/>
  <c r="O66" i="19"/>
  <c r="S68" i="19"/>
  <c r="O26" i="19"/>
  <c r="T69" i="17"/>
  <c r="Q74" i="4"/>
  <c r="O59" i="19"/>
  <c r="S67" i="19"/>
  <c r="P78" i="19"/>
  <c r="O20" i="19"/>
  <c r="T66" i="17"/>
  <c r="T58" i="17"/>
  <c r="O19" i="4"/>
  <c r="P67" i="19"/>
  <c r="T45" i="17"/>
  <c r="P74" i="19"/>
  <c r="O27" i="19"/>
  <c r="T59" i="19"/>
  <c r="H54" i="17"/>
  <c r="O54" i="17" s="1"/>
  <c r="S31" i="19"/>
  <c r="S19" i="19"/>
  <c r="S65" i="19"/>
  <c r="S66" i="19"/>
  <c r="S48" i="19"/>
  <c r="S22" i="19"/>
  <c r="S41" i="19"/>
  <c r="Q59" i="17"/>
  <c r="Q60" i="17"/>
  <c r="Q20" i="17"/>
  <c r="S22" i="17"/>
  <c r="S40" i="17"/>
  <c r="S60" i="17"/>
  <c r="S25" i="17"/>
  <c r="S42" i="17"/>
  <c r="S64" i="17"/>
  <c r="R66" i="17"/>
  <c r="R22" i="17"/>
  <c r="R58" i="17"/>
  <c r="R37" i="17"/>
  <c r="R35" i="17"/>
  <c r="R77" i="17"/>
  <c r="O34" i="17"/>
  <c r="O64" i="17"/>
  <c r="O41" i="17"/>
  <c r="O65" i="17"/>
  <c r="T26" i="4"/>
  <c r="T49" i="4"/>
  <c r="T36" i="4"/>
  <c r="T66" i="4"/>
  <c r="T27" i="4"/>
  <c r="T58" i="4"/>
  <c r="R31" i="4"/>
  <c r="R65" i="4"/>
  <c r="R36" i="4"/>
  <c r="P33" i="4"/>
  <c r="P48" i="4"/>
  <c r="P25" i="4"/>
  <c r="P60" i="4"/>
  <c r="P28" i="4"/>
  <c r="P77" i="4"/>
  <c r="P53" i="4"/>
  <c r="P35" i="4"/>
  <c r="P58" i="4"/>
  <c r="P34" i="4"/>
  <c r="P52" i="4"/>
  <c r="T42" i="4"/>
  <c r="Q27" i="17"/>
  <c r="Q69" i="17"/>
  <c r="Q28" i="17"/>
  <c r="P41" i="4"/>
  <c r="P42" i="4"/>
  <c r="P45" i="4"/>
  <c r="P66" i="4"/>
  <c r="P20" i="4"/>
  <c r="R41" i="17"/>
  <c r="R64" i="17"/>
  <c r="S78" i="19"/>
  <c r="S49" i="19"/>
  <c r="S54" i="19"/>
  <c r="S37" i="19"/>
  <c r="S58" i="19"/>
  <c r="S40" i="19"/>
  <c r="R24" i="19"/>
  <c r="R35" i="19"/>
  <c r="R44" i="19"/>
  <c r="R59" i="19"/>
  <c r="R74" i="19"/>
  <c r="R36" i="19"/>
  <c r="R65" i="19"/>
  <c r="P19" i="19"/>
  <c r="P26" i="19"/>
  <c r="P34" i="19"/>
  <c r="P41" i="19"/>
  <c r="P45" i="19"/>
  <c r="P54" i="19"/>
  <c r="P64" i="19"/>
  <c r="P68" i="19"/>
  <c r="P77" i="19"/>
  <c r="P42" i="19"/>
  <c r="Q42" i="17"/>
  <c r="S74" i="17"/>
  <c r="S34" i="17"/>
  <c r="R59" i="17"/>
  <c r="O73" i="17"/>
  <c r="O22" i="17"/>
  <c r="T67" i="4"/>
  <c r="P65" i="4"/>
  <c r="T72" i="4"/>
  <c r="T25" i="4"/>
  <c r="R73" i="19"/>
  <c r="R43" i="19"/>
  <c r="Q37" i="17"/>
  <c r="P69" i="4"/>
  <c r="P24" i="4"/>
  <c r="P27" i="4"/>
  <c r="P37" i="4"/>
  <c r="P43" i="4"/>
  <c r="R73" i="17"/>
  <c r="R44" i="17"/>
  <c r="S36" i="19"/>
  <c r="S35" i="19"/>
  <c r="S33" i="19"/>
  <c r="S53" i="19"/>
  <c r="S34" i="19"/>
  <c r="R77" i="19"/>
  <c r="R58" i="19"/>
  <c r="R40" i="19"/>
  <c r="R27" i="19"/>
  <c r="P73" i="19"/>
  <c r="P65" i="19"/>
  <c r="P53" i="19"/>
  <c r="P43" i="19"/>
  <c r="P35" i="19"/>
  <c r="P24" i="19"/>
  <c r="Q25" i="17"/>
  <c r="T24" i="17"/>
  <c r="T35" i="17"/>
  <c r="T48" i="17"/>
  <c r="T65" i="17"/>
  <c r="T78" i="17"/>
  <c r="T25" i="17"/>
  <c r="T40" i="17"/>
  <c r="T54" i="17"/>
  <c r="S69" i="17"/>
  <c r="S33" i="17"/>
  <c r="R53" i="17"/>
  <c r="O48" i="17"/>
  <c r="T45" i="4"/>
  <c r="R58" i="4"/>
  <c r="T60" i="4"/>
  <c r="T20" i="4"/>
  <c r="R69" i="19"/>
  <c r="R31" i="19"/>
  <c r="Q78" i="17"/>
  <c r="P44" i="4"/>
  <c r="P73" i="4"/>
  <c r="P19" i="4"/>
  <c r="P22" i="4"/>
  <c r="P36" i="4"/>
  <c r="R26" i="17"/>
  <c r="R34" i="17"/>
  <c r="S73" i="19"/>
  <c r="S20" i="19"/>
  <c r="S26" i="19"/>
  <c r="T31" i="19"/>
  <c r="T63" i="19"/>
  <c r="T19" i="19"/>
  <c r="T77" i="19"/>
  <c r="S44" i="19"/>
  <c r="S24" i="19"/>
  <c r="R67" i="19"/>
  <c r="R54" i="19"/>
  <c r="R37" i="19"/>
  <c r="R22" i="19"/>
  <c r="Q31" i="19"/>
  <c r="Q69" i="19"/>
  <c r="Q59" i="19"/>
  <c r="Q25" i="19"/>
  <c r="P69" i="19"/>
  <c r="P60" i="19"/>
  <c r="P49" i="19"/>
  <c r="P33" i="19"/>
  <c r="P22" i="19"/>
  <c r="Q77" i="17"/>
  <c r="P25" i="17"/>
  <c r="P42" i="17"/>
  <c r="P65" i="17"/>
  <c r="T59" i="17"/>
  <c r="T34" i="17"/>
  <c r="S52" i="17"/>
  <c r="O42" i="17"/>
  <c r="T35" i="4"/>
  <c r="O24" i="4"/>
  <c r="S74" i="4"/>
  <c r="S68" i="4"/>
  <c r="S27" i="4"/>
  <c r="S64" i="4"/>
  <c r="Q67" i="19"/>
  <c r="Q22" i="19"/>
  <c r="Q27" i="19"/>
  <c r="Q54" i="19"/>
  <c r="Q21" i="19"/>
  <c r="Q77" i="19"/>
  <c r="P26" i="17"/>
  <c r="P34" i="17"/>
  <c r="P40" i="17"/>
  <c r="P44" i="17"/>
  <c r="P53" i="17"/>
  <c r="P64" i="17"/>
  <c r="P69" i="17"/>
  <c r="P78" i="17"/>
  <c r="P31" i="17"/>
  <c r="S27" i="17"/>
  <c r="S35" i="17"/>
  <c r="S41" i="17"/>
  <c r="S45" i="17"/>
  <c r="S58" i="17"/>
  <c r="S65" i="17"/>
  <c r="S73" i="17"/>
  <c r="R28" i="4"/>
  <c r="R44" i="4"/>
  <c r="R74" i="4"/>
  <c r="Q19" i="19"/>
  <c r="Q44" i="19"/>
  <c r="Q37" i="19"/>
  <c r="Q66" i="19"/>
  <c r="Q35" i="19"/>
  <c r="Q73" i="19"/>
  <c r="Q43" i="19"/>
  <c r="Q68" i="19"/>
  <c r="Q64" i="19"/>
  <c r="Q40" i="19"/>
  <c r="Q41" i="19"/>
  <c r="Q36" i="19"/>
  <c r="Q58" i="19"/>
  <c r="Q78" i="19"/>
  <c r="Q33" i="19"/>
  <c r="T22" i="19"/>
  <c r="T37" i="19"/>
  <c r="T54" i="19"/>
  <c r="T68" i="19"/>
  <c r="T35" i="19"/>
  <c r="Q33" i="17"/>
  <c r="Q58" i="17"/>
  <c r="Q35" i="17"/>
  <c r="Q66" i="17"/>
  <c r="Q64" i="17"/>
  <c r="P68" i="17"/>
  <c r="P59" i="17"/>
  <c r="P45" i="17"/>
  <c r="P37" i="17"/>
  <c r="P28" i="17"/>
  <c r="P20" i="17"/>
  <c r="S78" i="17"/>
  <c r="S68" i="17"/>
  <c r="S59" i="17"/>
  <c r="S44" i="17"/>
  <c r="S37" i="17"/>
  <c r="S28" i="17"/>
  <c r="S33" i="4"/>
  <c r="S65" i="4"/>
  <c r="S20" i="4"/>
  <c r="S44" i="4"/>
  <c r="S22" i="4"/>
  <c r="S73" i="4"/>
  <c r="S69" i="4"/>
  <c r="S58" i="4"/>
  <c r="S60" i="4"/>
  <c r="R45" i="4"/>
  <c r="R24" i="4"/>
  <c r="O64" i="4"/>
  <c r="Q40" i="17"/>
  <c r="T65" i="19"/>
  <c r="T28" i="19"/>
  <c r="Q22" i="17"/>
  <c r="Q41" i="17"/>
  <c r="Q45" i="19"/>
  <c r="S52" i="4"/>
  <c r="S35" i="4"/>
  <c r="S19" i="4"/>
  <c r="S78" i="4"/>
  <c r="S31" i="4"/>
  <c r="Q53" i="19"/>
  <c r="Q74" i="19"/>
  <c r="Q28" i="19"/>
  <c r="Q49" i="19"/>
  <c r="Q60" i="19"/>
  <c r="Q26" i="19"/>
  <c r="T78" i="19"/>
  <c r="T55" i="19"/>
  <c r="T33" i="19"/>
  <c r="R19" i="19"/>
  <c r="R26" i="19"/>
  <c r="R34" i="19"/>
  <c r="R41" i="19"/>
  <c r="R48" i="19"/>
  <c r="R60" i="19"/>
  <c r="R68" i="19"/>
  <c r="Q34" i="19"/>
  <c r="O25" i="19"/>
  <c r="O40" i="19"/>
  <c r="O54" i="19"/>
  <c r="O19" i="19"/>
  <c r="O41" i="19"/>
  <c r="O68" i="19"/>
  <c r="O36" i="19"/>
  <c r="O73" i="19"/>
  <c r="O43" i="19"/>
  <c r="O77" i="19"/>
  <c r="Q74" i="17"/>
  <c r="Q36" i="17"/>
  <c r="P77" i="17"/>
  <c r="P66" i="17"/>
  <c r="P58" i="17"/>
  <c r="P43" i="17"/>
  <c r="P36" i="17"/>
  <c r="P27" i="17"/>
  <c r="T20" i="17"/>
  <c r="T31" i="17"/>
  <c r="T41" i="17"/>
  <c r="T52" i="17"/>
  <c r="T64" i="17"/>
  <c r="T72" i="17"/>
  <c r="S77" i="17"/>
  <c r="S66" i="17"/>
  <c r="S53" i="17"/>
  <c r="S43" i="17"/>
  <c r="S36" i="17"/>
  <c r="S26" i="17"/>
  <c r="S20" i="17"/>
  <c r="R43" i="17"/>
  <c r="R69" i="17"/>
  <c r="R40" i="17"/>
  <c r="R68" i="17"/>
  <c r="R60" i="17"/>
  <c r="R42" i="17"/>
  <c r="O35" i="17"/>
  <c r="O53" i="17"/>
  <c r="O74" i="17"/>
  <c r="T19" i="4"/>
  <c r="T40" i="4"/>
  <c r="T59" i="4"/>
  <c r="S41" i="4"/>
  <c r="R77" i="4"/>
  <c r="R22" i="4"/>
  <c r="P72" i="17"/>
  <c r="Q42" i="19"/>
  <c r="P54" i="4"/>
  <c r="P67" i="4"/>
  <c r="P63" i="4"/>
  <c r="Q52" i="19"/>
  <c r="Q67" i="4"/>
  <c r="J73" i="17"/>
  <c r="J67" i="17"/>
  <c r="J63" i="17"/>
  <c r="J55" i="17"/>
  <c r="J49" i="17"/>
  <c r="J43" i="17"/>
  <c r="J37" i="17"/>
  <c r="J33" i="17"/>
  <c r="F33" i="17" s="1"/>
  <c r="K33" i="17" s="1"/>
  <c r="L33" i="17" s="1"/>
  <c r="M33" i="17" s="1"/>
  <c r="J26" i="17"/>
  <c r="J21" i="17"/>
  <c r="J78" i="17"/>
  <c r="J72" i="17"/>
  <c r="J66" i="17"/>
  <c r="J60" i="17"/>
  <c r="J54" i="17"/>
  <c r="F54" i="17" s="1"/>
  <c r="K54" i="17" s="1"/>
  <c r="L54" i="17" s="1"/>
  <c r="R54" i="17" s="1"/>
  <c r="J48" i="17"/>
  <c r="J42" i="17"/>
  <c r="J36" i="17"/>
  <c r="J31" i="17"/>
  <c r="J25" i="17"/>
  <c r="J20" i="17"/>
  <c r="J77" i="17"/>
  <c r="J69" i="17"/>
  <c r="J65" i="17"/>
  <c r="J59" i="17"/>
  <c r="J53" i="17"/>
  <c r="J45" i="17"/>
  <c r="J41" i="17"/>
  <c r="J35" i="17"/>
  <c r="J28" i="17"/>
  <c r="J24" i="17"/>
  <c r="J19" i="17"/>
  <c r="J74" i="17"/>
  <c r="J52" i="17"/>
  <c r="J27" i="17"/>
  <c r="J68" i="17"/>
  <c r="J44" i="17"/>
  <c r="J22" i="17"/>
  <c r="J64" i="17"/>
  <c r="J40" i="17"/>
  <c r="F40" i="17" s="1"/>
  <c r="K40" i="17" s="1"/>
  <c r="L40" i="17" s="1"/>
  <c r="J58" i="17"/>
  <c r="J34" i="17"/>
  <c r="P24" i="17"/>
  <c r="P67" i="17"/>
  <c r="J77" i="19"/>
  <c r="J69" i="19"/>
  <c r="J65" i="19"/>
  <c r="F65" i="19" s="1"/>
  <c r="K65" i="19" s="1"/>
  <c r="L65" i="19" s="1"/>
  <c r="M65" i="19" s="1"/>
  <c r="J59" i="19"/>
  <c r="J53" i="19"/>
  <c r="J45" i="19"/>
  <c r="J41" i="19"/>
  <c r="J35" i="19"/>
  <c r="J28" i="19"/>
  <c r="J24" i="19"/>
  <c r="J19" i="19"/>
  <c r="J74" i="19"/>
  <c r="J68" i="19"/>
  <c r="J64" i="19"/>
  <c r="J58" i="19"/>
  <c r="J52" i="19"/>
  <c r="J44" i="19"/>
  <c r="J40" i="19"/>
  <c r="J34" i="19"/>
  <c r="J27" i="19"/>
  <c r="J22" i="19"/>
  <c r="J73" i="19"/>
  <c r="J67" i="19"/>
  <c r="J63" i="19"/>
  <c r="J55" i="19"/>
  <c r="K55" i="19" s="1"/>
  <c r="J49" i="19"/>
  <c r="J43" i="19"/>
  <c r="J37" i="19"/>
  <c r="J33" i="19"/>
  <c r="J26" i="19"/>
  <c r="J21" i="19"/>
  <c r="J60" i="19"/>
  <c r="J36" i="19"/>
  <c r="J78" i="19"/>
  <c r="J54" i="19"/>
  <c r="J31" i="19"/>
  <c r="J72" i="19"/>
  <c r="J48" i="19"/>
  <c r="J25" i="19"/>
  <c r="J66" i="19"/>
  <c r="J42" i="19"/>
  <c r="J20" i="19"/>
  <c r="J77" i="4"/>
  <c r="J69" i="4"/>
  <c r="J65" i="4"/>
  <c r="J59" i="4"/>
  <c r="J53" i="4"/>
  <c r="J45" i="4"/>
  <c r="J41" i="4"/>
  <c r="J35" i="4"/>
  <c r="J28" i="4"/>
  <c r="J24" i="4"/>
  <c r="J19" i="4"/>
  <c r="J74" i="4"/>
  <c r="J68" i="4"/>
  <c r="J64" i="4"/>
  <c r="J58" i="4"/>
  <c r="J52" i="4"/>
  <c r="J44" i="4"/>
  <c r="J40" i="4"/>
  <c r="J34" i="4"/>
  <c r="J27" i="4"/>
  <c r="J22" i="4"/>
  <c r="J73" i="4"/>
  <c r="J67" i="4"/>
  <c r="J55" i="4"/>
  <c r="J43" i="4"/>
  <c r="F43" i="4" s="1"/>
  <c r="K43" i="4" s="1"/>
  <c r="L43" i="4" s="1"/>
  <c r="M43" i="4" s="1"/>
  <c r="J33" i="4"/>
  <c r="J21" i="4"/>
  <c r="J66" i="4"/>
  <c r="J54" i="4"/>
  <c r="F54" i="4" s="1"/>
  <c r="K54" i="4" s="1"/>
  <c r="L54" i="4" s="1"/>
  <c r="R54" i="4" s="1"/>
  <c r="J42" i="4"/>
  <c r="J31" i="4"/>
  <c r="J20" i="4"/>
  <c r="J78" i="4"/>
  <c r="J63" i="4"/>
  <c r="J49" i="4"/>
  <c r="J37" i="4"/>
  <c r="J26" i="4"/>
  <c r="F26" i="4" s="1"/>
  <c r="K26" i="4" s="1"/>
  <c r="L26" i="4" s="1"/>
  <c r="M26" i="4" s="1"/>
  <c r="J72" i="4"/>
  <c r="J60" i="4"/>
  <c r="J48" i="4"/>
  <c r="J36" i="4"/>
  <c r="J25" i="4"/>
  <c r="Q19" i="17"/>
  <c r="P72" i="4"/>
  <c r="P72" i="19"/>
  <c r="Q55" i="19"/>
  <c r="P63" i="17"/>
  <c r="P19" i="17"/>
  <c r="H49" i="17"/>
  <c r="F63" i="4"/>
  <c r="K63" i="4" s="1"/>
  <c r="L63" i="4" s="1"/>
  <c r="R63" i="4" s="1"/>
  <c r="O20" i="4"/>
  <c r="O26" i="4"/>
  <c r="O34" i="4"/>
  <c r="O44" i="4"/>
  <c r="O65" i="4"/>
  <c r="O73" i="4"/>
  <c r="O21" i="4"/>
  <c r="O31" i="4"/>
  <c r="O45" i="4"/>
  <c r="O58" i="4"/>
  <c r="O68" i="4"/>
  <c r="O59" i="4"/>
  <c r="O35" i="4"/>
  <c r="O22" i="4"/>
  <c r="O33" i="4"/>
  <c r="O52" i="4"/>
  <c r="O60" i="4"/>
  <c r="O69" i="4"/>
  <c r="O42" i="4"/>
  <c r="O78" i="4"/>
  <c r="O77" i="4"/>
  <c r="O27" i="4"/>
  <c r="O48" i="4"/>
  <c r="P40" i="4"/>
  <c r="P49" i="4"/>
  <c r="P52" i="19"/>
  <c r="T20" i="19"/>
  <c r="T26" i="19"/>
  <c r="T34" i="19"/>
  <c r="T42" i="19"/>
  <c r="T49" i="19"/>
  <c r="T58" i="19"/>
  <c r="T66" i="19"/>
  <c r="T73" i="19"/>
  <c r="T24" i="19"/>
  <c r="T45" i="19"/>
  <c r="T69" i="19"/>
  <c r="T21" i="19"/>
  <c r="T27" i="19"/>
  <c r="T36" i="19"/>
  <c r="T43" i="19"/>
  <c r="T52" i="19"/>
  <c r="T60" i="19"/>
  <c r="T67" i="19"/>
  <c r="T74" i="19"/>
  <c r="O20" i="17"/>
  <c r="O25" i="17"/>
  <c r="O33" i="17"/>
  <c r="O37" i="17"/>
  <c r="O43" i="17"/>
  <c r="O52" i="17"/>
  <c r="O60" i="17"/>
  <c r="O68" i="17"/>
  <c r="O77" i="17"/>
  <c r="O27" i="17"/>
  <c r="O36" i="17"/>
  <c r="O44" i="17"/>
  <c r="O58" i="17"/>
  <c r="O66" i="17"/>
  <c r="O78" i="17"/>
  <c r="O28" i="17"/>
  <c r="O40" i="17"/>
  <c r="O45" i="17"/>
  <c r="O59" i="17"/>
  <c r="O69" i="17"/>
  <c r="T22" i="4"/>
  <c r="T28" i="4"/>
  <c r="T37" i="4"/>
  <c r="T44" i="4"/>
  <c r="T53" i="4"/>
  <c r="T63" i="4"/>
  <c r="T68" i="4"/>
  <c r="T77" i="4"/>
  <c r="T21" i="4"/>
  <c r="T33" i="4"/>
  <c r="T41" i="4"/>
  <c r="T52" i="4"/>
  <c r="T64" i="4"/>
  <c r="T73" i="4"/>
  <c r="T31" i="4"/>
  <c r="T54" i="4"/>
  <c r="T78" i="4"/>
  <c r="T24" i="4"/>
  <c r="T34" i="4"/>
  <c r="T43" i="4"/>
  <c r="T55" i="4"/>
  <c r="T65" i="4"/>
  <c r="T74" i="4"/>
  <c r="R21" i="4"/>
  <c r="R26" i="4"/>
  <c r="R33" i="4"/>
  <c r="R37" i="4"/>
  <c r="R43" i="4"/>
  <c r="R52" i="4"/>
  <c r="R59" i="4"/>
  <c r="R66" i="4"/>
  <c r="R73" i="4"/>
  <c r="R19" i="4"/>
  <c r="R25" i="4"/>
  <c r="R34" i="4"/>
  <c r="R41" i="4"/>
  <c r="R48" i="4"/>
  <c r="R60" i="4"/>
  <c r="R68" i="4"/>
  <c r="R78" i="4"/>
  <c r="R20" i="4"/>
  <c r="R27" i="4"/>
  <c r="R35" i="4"/>
  <c r="R42" i="4"/>
  <c r="R53" i="4"/>
  <c r="R64" i="4"/>
  <c r="R69" i="4"/>
  <c r="Q22" i="4"/>
  <c r="Q34" i="4"/>
  <c r="Q42" i="4"/>
  <c r="Q63" i="4"/>
  <c r="Q77" i="4"/>
  <c r="Q26" i="4"/>
  <c r="Q66" i="4"/>
  <c r="Q20" i="4"/>
  <c r="Q44" i="4"/>
  <c r="Q68" i="4"/>
  <c r="Q35" i="4"/>
  <c r="Q72" i="4"/>
  <c r="Q59" i="4"/>
  <c r="Q33" i="4"/>
  <c r="Q43" i="4"/>
  <c r="Q69" i="4"/>
  <c r="O74" i="4"/>
  <c r="O25" i="4"/>
  <c r="Q34" i="17"/>
  <c r="Q48" i="17"/>
  <c r="Q65" i="17"/>
  <c r="T21" i="17"/>
  <c r="T26" i="17"/>
  <c r="T33" i="17"/>
  <c r="T37" i="17"/>
  <c r="T43" i="17"/>
  <c r="T49" i="17"/>
  <c r="T55" i="17"/>
  <c r="T63" i="17"/>
  <c r="T67" i="17"/>
  <c r="T73" i="17"/>
  <c r="R28" i="17"/>
  <c r="R48" i="17"/>
  <c r="R65" i="17"/>
  <c r="O49" i="17"/>
  <c r="Q73" i="17"/>
  <c r="Q44" i="17"/>
  <c r="Q72" i="17"/>
  <c r="Q45" i="17"/>
  <c r="Q24" i="17"/>
  <c r="R78" i="17"/>
  <c r="R45" i="17"/>
  <c r="R74" i="17"/>
  <c r="R52" i="17"/>
  <c r="R25" i="17"/>
  <c r="S25" i="19"/>
  <c r="S74" i="19"/>
  <c r="S28" i="19"/>
  <c r="S60" i="19"/>
  <c r="S27" i="19"/>
  <c r="S45" i="19"/>
  <c r="S21" i="19"/>
  <c r="P49" i="17"/>
  <c r="P21" i="17"/>
  <c r="P54" i="17"/>
  <c r="Q67" i="17"/>
  <c r="S59" i="19"/>
  <c r="S43" i="19"/>
  <c r="Q63" i="19"/>
  <c r="P20" i="19"/>
  <c r="P25" i="19"/>
  <c r="P31" i="19"/>
  <c r="P36" i="19"/>
  <c r="Q68" i="17"/>
  <c r="Q43" i="17"/>
  <c r="Q26" i="17"/>
  <c r="T77" i="17"/>
  <c r="T68" i="17"/>
  <c r="T60" i="17"/>
  <c r="T53" i="17"/>
  <c r="T44" i="17"/>
  <c r="T36" i="17"/>
  <c r="T28" i="17"/>
  <c r="T22" i="17"/>
  <c r="R36" i="17"/>
  <c r="Q49" i="4"/>
  <c r="P21" i="4"/>
  <c r="P59" i="4"/>
  <c r="H77" i="4"/>
  <c r="H40" i="4"/>
  <c r="O40" i="4" s="1"/>
  <c r="P63" i="19"/>
  <c r="Q21" i="17"/>
  <c r="H60" i="4"/>
  <c r="O54" i="4"/>
  <c r="H42" i="19"/>
  <c r="F42" i="19" s="1"/>
  <c r="K42" i="19" s="1"/>
  <c r="L42" i="19" s="1"/>
  <c r="R42" i="19" s="1"/>
  <c r="Q55" i="4"/>
  <c r="P55" i="4"/>
  <c r="Q31" i="17"/>
  <c r="O63" i="4"/>
  <c r="Q40" i="4"/>
  <c r="Q49" i="17"/>
  <c r="Q54" i="17"/>
  <c r="Q54" i="4"/>
  <c r="P55" i="19"/>
  <c r="Q72" i="19"/>
  <c r="Q63" i="17"/>
  <c r="P55" i="17"/>
  <c r="Q55" i="17"/>
  <c r="H63" i="17"/>
  <c r="H78" i="17"/>
  <c r="H69" i="17"/>
  <c r="H60" i="17"/>
  <c r="H53" i="17"/>
  <c r="H45" i="17"/>
  <c r="H41" i="17"/>
  <c r="H35" i="17"/>
  <c r="H34" i="17"/>
  <c r="H27" i="17"/>
  <c r="H73" i="17"/>
  <c r="F73" i="17" s="1"/>
  <c r="K73" i="17" s="1"/>
  <c r="H65" i="17"/>
  <c r="H64" i="17"/>
  <c r="H58" i="17"/>
  <c r="H42" i="17"/>
  <c r="H36" i="17"/>
  <c r="H28" i="17"/>
  <c r="H22" i="17"/>
  <c r="H31" i="17"/>
  <c r="H74" i="17"/>
  <c r="H52" i="17"/>
  <c r="H43" i="17"/>
  <c r="H25" i="17"/>
  <c r="H24" i="17"/>
  <c r="H72" i="17"/>
  <c r="H77" i="17"/>
  <c r="H59" i="17"/>
  <c r="F59" i="17" s="1"/>
  <c r="K59" i="17" s="1"/>
  <c r="H44" i="17"/>
  <c r="H26" i="17"/>
  <c r="H19" i="17"/>
  <c r="O19" i="17" s="1"/>
  <c r="H21" i="17"/>
  <c r="H67" i="17"/>
  <c r="H67" i="4"/>
  <c r="H65" i="4"/>
  <c r="H64" i="4"/>
  <c r="H59" i="4"/>
  <c r="H58" i="4"/>
  <c r="H53" i="4"/>
  <c r="H41" i="4"/>
  <c r="H35" i="4"/>
  <c r="H34" i="4"/>
  <c r="H33" i="4"/>
  <c r="H28" i="4"/>
  <c r="H20" i="4"/>
  <c r="H19" i="4"/>
  <c r="H72" i="4"/>
  <c r="H78" i="4"/>
  <c r="H68" i="4"/>
  <c r="H52" i="4"/>
  <c r="H37" i="4"/>
  <c r="H49" i="4"/>
  <c r="H74" i="4"/>
  <c r="H66" i="4"/>
  <c r="H48" i="4"/>
  <c r="H44" i="4"/>
  <c r="H42" i="4"/>
  <c r="H73" i="4"/>
  <c r="H36" i="4"/>
  <c r="H31" i="4"/>
  <c r="F31" i="4" s="1"/>
  <c r="K31" i="4" s="1"/>
  <c r="H25" i="4"/>
  <c r="H22" i="4"/>
  <c r="H33" i="19"/>
  <c r="H73" i="19"/>
  <c r="H54" i="19"/>
  <c r="H37" i="19"/>
  <c r="H78" i="19"/>
  <c r="H74" i="19"/>
  <c r="H64" i="19"/>
  <c r="H21" i="4"/>
  <c r="H27" i="4"/>
  <c r="H45" i="4"/>
  <c r="H37" i="17"/>
  <c r="H68" i="17"/>
  <c r="H45" i="19"/>
  <c r="H68" i="19"/>
  <c r="F68" i="19" s="1"/>
  <c r="K68" i="19" s="1"/>
  <c r="H36" i="19"/>
  <c r="H34" i="19"/>
  <c r="H28" i="19"/>
  <c r="H24" i="19"/>
  <c r="H19" i="19"/>
  <c r="H25" i="19"/>
  <c r="H35" i="19"/>
  <c r="H72" i="19"/>
  <c r="H40" i="19"/>
  <c r="H58" i="19"/>
  <c r="H60" i="19"/>
  <c r="H22" i="19"/>
  <c r="H27" i="19"/>
  <c r="H41" i="19"/>
  <c r="H48" i="19"/>
  <c r="H67" i="19"/>
  <c r="H49" i="19"/>
  <c r="H26" i="19"/>
  <c r="H20" i="19"/>
  <c r="H66" i="19"/>
  <c r="H52" i="19"/>
  <c r="H59" i="19"/>
  <c r="H53" i="19"/>
  <c r="H77" i="19"/>
  <c r="H44" i="19"/>
  <c r="H63" i="19"/>
  <c r="H43" i="19"/>
  <c r="H21" i="19"/>
  <c r="H31" i="19"/>
  <c r="H69" i="19"/>
  <c r="H24" i="4"/>
  <c r="H69" i="4"/>
  <c r="H20" i="17"/>
  <c r="H48" i="17"/>
  <c r="H66" i="17"/>
  <c r="F24" i="19" l="1"/>
  <c r="K24" i="19" s="1"/>
  <c r="F28" i="4"/>
  <c r="K28" i="4" s="1"/>
  <c r="F44" i="4"/>
  <c r="K44" i="4" s="1"/>
  <c r="F78" i="4"/>
  <c r="K78" i="4" s="1"/>
  <c r="L78" i="4" s="1"/>
  <c r="M78" i="4" s="1"/>
  <c r="F69" i="17"/>
  <c r="K69" i="17" s="1"/>
  <c r="F77" i="19"/>
  <c r="K77" i="19" s="1"/>
  <c r="F42" i="17"/>
  <c r="K42" i="17" s="1"/>
  <c r="F78" i="19"/>
  <c r="K78" i="19" s="1"/>
  <c r="L78" i="19" s="1"/>
  <c r="M78" i="19" s="1"/>
  <c r="F37" i="4"/>
  <c r="K37" i="4" s="1"/>
  <c r="F77" i="17"/>
  <c r="K77" i="17" s="1"/>
  <c r="L77" i="17" s="1"/>
  <c r="M77" i="17" s="1"/>
  <c r="F43" i="17"/>
  <c r="K43" i="17" s="1"/>
  <c r="L43" i="17" s="1"/>
  <c r="M43" i="17" s="1"/>
  <c r="F21" i="4"/>
  <c r="K21" i="4" s="1"/>
  <c r="L21" i="4" s="1"/>
  <c r="M21" i="4" s="1"/>
  <c r="F34" i="4"/>
  <c r="K34" i="4" s="1"/>
  <c r="L34" i="4" s="1"/>
  <c r="M34" i="4" s="1"/>
  <c r="F58" i="4"/>
  <c r="K58" i="4" s="1"/>
  <c r="L58" i="4" s="1"/>
  <c r="M58" i="4" s="1"/>
  <c r="F26" i="17"/>
  <c r="K26" i="17" s="1"/>
  <c r="L26" i="17" s="1"/>
  <c r="M26" i="17" s="1"/>
  <c r="F45" i="19"/>
  <c r="K45" i="19" s="1"/>
  <c r="L45" i="19" s="1"/>
  <c r="M45" i="19" s="1"/>
  <c r="F48" i="4"/>
  <c r="K48" i="4" s="1"/>
  <c r="L48" i="4" s="1"/>
  <c r="M48" i="4" s="1"/>
  <c r="F22" i="17"/>
  <c r="K22" i="17" s="1"/>
  <c r="L22" i="17" s="1"/>
  <c r="M22" i="17" s="1"/>
  <c r="F49" i="17"/>
  <c r="K49" i="17" s="1"/>
  <c r="L49" i="17" s="1"/>
  <c r="R49" i="17" s="1"/>
  <c r="Q79" i="19"/>
  <c r="F69" i="4"/>
  <c r="K69" i="4" s="1"/>
  <c r="L69" i="4" s="1"/>
  <c r="M69" i="4" s="1"/>
  <c r="F45" i="4"/>
  <c r="K45" i="4" s="1"/>
  <c r="L45" i="4" s="1"/>
  <c r="M45" i="4" s="1"/>
  <c r="F74" i="19"/>
  <c r="K74" i="19" s="1"/>
  <c r="L74" i="19" s="1"/>
  <c r="M74" i="19" s="1"/>
  <c r="F41" i="17"/>
  <c r="K41" i="17" s="1"/>
  <c r="L41" i="17" s="1"/>
  <c r="M41" i="17" s="1"/>
  <c r="F69" i="19"/>
  <c r="K69" i="19" s="1"/>
  <c r="L69" i="19" s="1"/>
  <c r="M69" i="19" s="1"/>
  <c r="F26" i="19"/>
  <c r="K26" i="19" s="1"/>
  <c r="L26" i="19" s="1"/>
  <c r="M26" i="19" s="1"/>
  <c r="F66" i="4"/>
  <c r="K66" i="4" s="1"/>
  <c r="L66" i="4" s="1"/>
  <c r="M66" i="4" s="1"/>
  <c r="F52" i="17"/>
  <c r="K52" i="17" s="1"/>
  <c r="L52" i="17" s="1"/>
  <c r="M52" i="17" s="1"/>
  <c r="F28" i="17"/>
  <c r="K28" i="17" s="1"/>
  <c r="L28" i="17" s="1"/>
  <c r="M28" i="17" s="1"/>
  <c r="F34" i="17"/>
  <c r="K34" i="17" s="1"/>
  <c r="L34" i="17" s="1"/>
  <c r="M34" i="17" s="1"/>
  <c r="F24" i="4"/>
  <c r="K24" i="4" s="1"/>
  <c r="L24" i="4" s="1"/>
  <c r="M24" i="4" s="1"/>
  <c r="F33" i="4"/>
  <c r="K33" i="4" s="1"/>
  <c r="L33" i="4" s="1"/>
  <c r="M33" i="4" s="1"/>
  <c r="F19" i="17"/>
  <c r="K19" i="17" s="1"/>
  <c r="L19" i="17" s="1"/>
  <c r="F48" i="17"/>
  <c r="K48" i="17" s="1"/>
  <c r="L48" i="17" s="1"/>
  <c r="M48" i="17" s="1"/>
  <c r="F59" i="19"/>
  <c r="K59" i="19" s="1"/>
  <c r="L59" i="19" s="1"/>
  <c r="M59" i="19" s="1"/>
  <c r="F41" i="19"/>
  <c r="K41" i="19" s="1"/>
  <c r="L41" i="19" s="1"/>
  <c r="M41" i="19" s="1"/>
  <c r="F58" i="19"/>
  <c r="K58" i="19" s="1"/>
  <c r="L58" i="19" s="1"/>
  <c r="M58" i="19" s="1"/>
  <c r="F25" i="19"/>
  <c r="K25" i="19" s="1"/>
  <c r="L25" i="19" s="1"/>
  <c r="M25" i="19" s="1"/>
  <c r="F34" i="19"/>
  <c r="K34" i="19" s="1"/>
  <c r="L34" i="19" s="1"/>
  <c r="M34" i="19" s="1"/>
  <c r="F68" i="17"/>
  <c r="K68" i="17" s="1"/>
  <c r="L68" i="17" s="1"/>
  <c r="M68" i="17" s="1"/>
  <c r="F37" i="19"/>
  <c r="K37" i="19" s="1"/>
  <c r="L37" i="19" s="1"/>
  <c r="M37" i="19" s="1"/>
  <c r="F22" i="4"/>
  <c r="K22" i="4" s="1"/>
  <c r="L22" i="4" s="1"/>
  <c r="M22" i="4" s="1"/>
  <c r="F73" i="4"/>
  <c r="K73" i="4" s="1"/>
  <c r="L73" i="4" s="1"/>
  <c r="M73" i="4" s="1"/>
  <c r="F64" i="17"/>
  <c r="K64" i="17" s="1"/>
  <c r="L64" i="17" s="1"/>
  <c r="M64" i="17" s="1"/>
  <c r="F31" i="19"/>
  <c r="K31" i="19" s="1"/>
  <c r="L31" i="19" s="1"/>
  <c r="M31" i="19" s="1"/>
  <c r="F49" i="19"/>
  <c r="K49" i="19" s="1"/>
  <c r="L49" i="19" s="1"/>
  <c r="M49" i="19" s="1"/>
  <c r="F27" i="19"/>
  <c r="K27" i="19" s="1"/>
  <c r="L27" i="19" s="1"/>
  <c r="M27" i="19" s="1"/>
  <c r="F40" i="19"/>
  <c r="K40" i="19" s="1"/>
  <c r="L40" i="19" s="1"/>
  <c r="M40" i="19" s="1"/>
  <c r="F64" i="19"/>
  <c r="K64" i="19" s="1"/>
  <c r="L64" i="19" s="1"/>
  <c r="M64" i="19" s="1"/>
  <c r="F25" i="4"/>
  <c r="K25" i="4" s="1"/>
  <c r="L25" i="4" s="1"/>
  <c r="M25" i="4" s="1"/>
  <c r="F42" i="4"/>
  <c r="K42" i="4" s="1"/>
  <c r="L42" i="4" s="1"/>
  <c r="M42" i="4" s="1"/>
  <c r="F74" i="4"/>
  <c r="K74" i="4" s="1"/>
  <c r="L74" i="4" s="1"/>
  <c r="M74" i="4" s="1"/>
  <c r="F35" i="4"/>
  <c r="K35" i="4" s="1"/>
  <c r="L35" i="4" s="1"/>
  <c r="M35" i="4" s="1"/>
  <c r="F59" i="4"/>
  <c r="K59" i="4" s="1"/>
  <c r="L59" i="4" s="1"/>
  <c r="M59" i="4" s="1"/>
  <c r="F36" i="17"/>
  <c r="K36" i="17" s="1"/>
  <c r="L36" i="17" s="1"/>
  <c r="M36" i="17" s="1"/>
  <c r="F60" i="17"/>
  <c r="K60" i="17" s="1"/>
  <c r="L60" i="17" s="1"/>
  <c r="M60" i="17" s="1"/>
  <c r="F20" i="17"/>
  <c r="K20" i="17" s="1"/>
  <c r="L20" i="17" s="1"/>
  <c r="M20" i="17" s="1"/>
  <c r="F37" i="17"/>
  <c r="K37" i="17" s="1"/>
  <c r="L37" i="17" s="1"/>
  <c r="M37" i="17" s="1"/>
  <c r="F54" i="19"/>
  <c r="K54" i="19" s="1"/>
  <c r="L54" i="19" s="1"/>
  <c r="M54" i="19" s="1"/>
  <c r="F68" i="4"/>
  <c r="K68" i="4" s="1"/>
  <c r="L68" i="4" s="1"/>
  <c r="M68" i="4" s="1"/>
  <c r="F44" i="17"/>
  <c r="K44" i="17" s="1"/>
  <c r="L44" i="17" s="1"/>
  <c r="M44" i="17" s="1"/>
  <c r="F74" i="17"/>
  <c r="K74" i="17" s="1"/>
  <c r="L74" i="17" s="1"/>
  <c r="M74" i="17" s="1"/>
  <c r="F35" i="17"/>
  <c r="K35" i="17" s="1"/>
  <c r="L35" i="17" s="1"/>
  <c r="M35" i="17" s="1"/>
  <c r="F66" i="17"/>
  <c r="K66" i="17" s="1"/>
  <c r="L66" i="17" s="1"/>
  <c r="M66" i="17" s="1"/>
  <c r="F43" i="19"/>
  <c r="K43" i="19" s="1"/>
  <c r="L43" i="19" s="1"/>
  <c r="M43" i="19" s="1"/>
  <c r="F33" i="19"/>
  <c r="K33" i="19" s="1"/>
  <c r="L33" i="19" s="1"/>
  <c r="M33" i="19" s="1"/>
  <c r="F36" i="4"/>
  <c r="K36" i="4" s="1"/>
  <c r="L36" i="4" s="1"/>
  <c r="M36" i="4" s="1"/>
  <c r="F53" i="4"/>
  <c r="K53" i="4" s="1"/>
  <c r="L53" i="4" s="1"/>
  <c r="M53" i="4" s="1"/>
  <c r="F65" i="4"/>
  <c r="K65" i="4" s="1"/>
  <c r="L65" i="4" s="1"/>
  <c r="M65" i="4" s="1"/>
  <c r="F58" i="17"/>
  <c r="K58" i="17" s="1"/>
  <c r="L58" i="17" s="1"/>
  <c r="M58" i="17" s="1"/>
  <c r="F27" i="17"/>
  <c r="K27" i="17" s="1"/>
  <c r="L27" i="17" s="1"/>
  <c r="M27" i="17" s="1"/>
  <c r="F45" i="17"/>
  <c r="K45" i="17" s="1"/>
  <c r="L45" i="17" s="1"/>
  <c r="M45" i="17" s="1"/>
  <c r="F78" i="17"/>
  <c r="K78" i="17" s="1"/>
  <c r="L78" i="17" s="1"/>
  <c r="M78" i="17" s="1"/>
  <c r="M40" i="17"/>
  <c r="T79" i="19"/>
  <c r="O55" i="19"/>
  <c r="T79" i="4"/>
  <c r="M54" i="4"/>
  <c r="S54" i="4" s="1"/>
  <c r="T79" i="17"/>
  <c r="F44" i="19"/>
  <c r="K44" i="19" s="1"/>
  <c r="L44" i="19" s="1"/>
  <c r="M44" i="19" s="1"/>
  <c r="F19" i="19"/>
  <c r="K19" i="19" s="1"/>
  <c r="L19" i="19" s="1"/>
  <c r="M19" i="19" s="1"/>
  <c r="F36" i="19"/>
  <c r="K36" i="19" s="1"/>
  <c r="L36" i="19" s="1"/>
  <c r="M36" i="19" s="1"/>
  <c r="F52" i="4"/>
  <c r="K52" i="4" s="1"/>
  <c r="L52" i="4" s="1"/>
  <c r="M52" i="4" s="1"/>
  <c r="F19" i="4"/>
  <c r="K19" i="4" s="1"/>
  <c r="L19" i="4" s="1"/>
  <c r="M19" i="4" s="1"/>
  <c r="F53" i="17"/>
  <c r="K53" i="17" s="1"/>
  <c r="L53" i="17" s="1"/>
  <c r="M53" i="17" s="1"/>
  <c r="Q79" i="17"/>
  <c r="P79" i="19"/>
  <c r="F77" i="4"/>
  <c r="K77" i="4" s="1"/>
  <c r="L77" i="4" s="1"/>
  <c r="M77" i="4" s="1"/>
  <c r="F21" i="19"/>
  <c r="K21" i="19" s="1"/>
  <c r="L21" i="19" s="1"/>
  <c r="M21" i="19" s="1"/>
  <c r="F66" i="19"/>
  <c r="K66" i="19" s="1"/>
  <c r="L66" i="19" s="1"/>
  <c r="M66" i="19" s="1"/>
  <c r="F67" i="19"/>
  <c r="K67" i="19" s="1"/>
  <c r="L67" i="19" s="1"/>
  <c r="M67" i="19" s="1"/>
  <c r="F22" i="19"/>
  <c r="K22" i="19" s="1"/>
  <c r="L22" i="19" s="1"/>
  <c r="M22" i="19" s="1"/>
  <c r="F20" i="4"/>
  <c r="K20" i="4" s="1"/>
  <c r="L20" i="4" s="1"/>
  <c r="M20" i="4" s="1"/>
  <c r="F65" i="17"/>
  <c r="K65" i="17" s="1"/>
  <c r="L65" i="17" s="1"/>
  <c r="M65" i="17" s="1"/>
  <c r="F40" i="4"/>
  <c r="K40" i="4" s="1"/>
  <c r="L40" i="4" s="1"/>
  <c r="R40" i="4" s="1"/>
  <c r="P79" i="17"/>
  <c r="P79" i="4"/>
  <c r="F60" i="4"/>
  <c r="K60" i="4" s="1"/>
  <c r="L60" i="4" s="1"/>
  <c r="M60" i="4" s="1"/>
  <c r="F53" i="19"/>
  <c r="K53" i="19" s="1"/>
  <c r="L53" i="19" s="1"/>
  <c r="F20" i="19"/>
  <c r="K20" i="19" s="1"/>
  <c r="L20" i="19" s="1"/>
  <c r="M20" i="19" s="1"/>
  <c r="F48" i="19"/>
  <c r="K48" i="19" s="1"/>
  <c r="L48" i="19" s="1"/>
  <c r="M48" i="19" s="1"/>
  <c r="F60" i="19"/>
  <c r="K60" i="19" s="1"/>
  <c r="L60" i="19" s="1"/>
  <c r="M60" i="19" s="1"/>
  <c r="F35" i="19"/>
  <c r="K35" i="19" s="1"/>
  <c r="L35" i="19" s="1"/>
  <c r="F28" i="19"/>
  <c r="K28" i="19" s="1"/>
  <c r="L28" i="19" s="1"/>
  <c r="M28" i="19" s="1"/>
  <c r="F27" i="4"/>
  <c r="K27" i="4" s="1"/>
  <c r="L27" i="4" s="1"/>
  <c r="M27" i="4" s="1"/>
  <c r="F73" i="19"/>
  <c r="K73" i="19" s="1"/>
  <c r="F41" i="4"/>
  <c r="K41" i="4" s="1"/>
  <c r="L41" i="4" s="1"/>
  <c r="M41" i="4" s="1"/>
  <c r="F64" i="4"/>
  <c r="K64" i="4" s="1"/>
  <c r="L64" i="4" s="1"/>
  <c r="M64" i="4" s="1"/>
  <c r="F25" i="17"/>
  <c r="K25" i="17" s="1"/>
  <c r="L25" i="17" s="1"/>
  <c r="M25" i="17" s="1"/>
  <c r="Q79" i="4"/>
  <c r="M54" i="17"/>
  <c r="S54" i="17" s="1"/>
  <c r="M63" i="4"/>
  <c r="S63" i="4" s="1"/>
  <c r="O42" i="19"/>
  <c r="M42" i="19"/>
  <c r="S42" i="19" s="1"/>
  <c r="F72" i="4"/>
  <c r="K72" i="4" s="1"/>
  <c r="O72" i="4"/>
  <c r="K55" i="4"/>
  <c r="O55" i="4"/>
  <c r="F67" i="4"/>
  <c r="K67" i="4" s="1"/>
  <c r="O67" i="4"/>
  <c r="F72" i="17"/>
  <c r="K72" i="17" s="1"/>
  <c r="O72" i="17"/>
  <c r="F63" i="17"/>
  <c r="K63" i="17" s="1"/>
  <c r="O63" i="17"/>
  <c r="F52" i="19"/>
  <c r="K52" i="19" s="1"/>
  <c r="O52" i="19"/>
  <c r="O67" i="17"/>
  <c r="F67" i="17"/>
  <c r="K67" i="17" s="1"/>
  <c r="O24" i="17"/>
  <c r="F24" i="17"/>
  <c r="K24" i="17" s="1"/>
  <c r="K55" i="17"/>
  <c r="O55" i="17"/>
  <c r="L55" i="19"/>
  <c r="R55" i="19" s="1"/>
  <c r="L37" i="4"/>
  <c r="M37" i="4" s="1"/>
  <c r="O63" i="19"/>
  <c r="F63" i="19"/>
  <c r="K63" i="19" s="1"/>
  <c r="L77" i="19"/>
  <c r="M77" i="19" s="1"/>
  <c r="F72" i="19"/>
  <c r="K72" i="19" s="1"/>
  <c r="O72" i="19"/>
  <c r="L24" i="19"/>
  <c r="M24" i="19" s="1"/>
  <c r="L68" i="19"/>
  <c r="M68" i="19" s="1"/>
  <c r="L31" i="4"/>
  <c r="M31" i="4" s="1"/>
  <c r="L44" i="4"/>
  <c r="M44" i="4" s="1"/>
  <c r="F49" i="4"/>
  <c r="K49" i="4" s="1"/>
  <c r="O49" i="4"/>
  <c r="L28" i="4"/>
  <c r="M28" i="4" s="1"/>
  <c r="F21" i="17"/>
  <c r="K21" i="17" s="1"/>
  <c r="O21" i="17"/>
  <c r="L59" i="17"/>
  <c r="M59" i="17" s="1"/>
  <c r="O31" i="17"/>
  <c r="F31" i="17"/>
  <c r="K31" i="17" s="1"/>
  <c r="L42" i="17"/>
  <c r="M42" i="17" s="1"/>
  <c r="L73" i="17"/>
  <c r="M73" i="17" s="1"/>
  <c r="L69" i="17"/>
  <c r="M69" i="17" s="1"/>
  <c r="M49" i="17" l="1"/>
  <c r="S49" i="17" s="1"/>
  <c r="M19" i="17"/>
  <c r="S19" i="17" s="1"/>
  <c r="R19" i="17"/>
  <c r="L73" i="19"/>
  <c r="M73" i="19" s="1"/>
  <c r="M35" i="19"/>
  <c r="M53" i="19"/>
  <c r="M40" i="4"/>
  <c r="S40" i="4" s="1"/>
  <c r="M55" i="19"/>
  <c r="S55" i="19" s="1"/>
  <c r="O79" i="4"/>
  <c r="L63" i="19"/>
  <c r="R63" i="19" s="1"/>
  <c r="L24" i="17"/>
  <c r="R24" i="17" s="1"/>
  <c r="L67" i="17"/>
  <c r="R67" i="17" s="1"/>
  <c r="L49" i="4"/>
  <c r="R49" i="4" s="1"/>
  <c r="L55" i="17"/>
  <c r="R55" i="17" s="1"/>
  <c r="L72" i="4"/>
  <c r="R72" i="4" s="1"/>
  <c r="O79" i="17"/>
  <c r="O79" i="19"/>
  <c r="L31" i="17"/>
  <c r="R31" i="17" s="1"/>
  <c r="L21" i="17"/>
  <c r="R21" i="17" s="1"/>
  <c r="L72" i="19"/>
  <c r="R72" i="19" s="1"/>
  <c r="L52" i="19"/>
  <c r="R52" i="19" s="1"/>
  <c r="L63" i="17"/>
  <c r="R63" i="17" s="1"/>
  <c r="L72" i="17"/>
  <c r="R72" i="17" s="1"/>
  <c r="L67" i="4"/>
  <c r="R67" i="4" s="1"/>
  <c r="L55" i="4"/>
  <c r="R55" i="4" s="1"/>
  <c r="M55" i="4" l="1"/>
  <c r="S55" i="4" s="1"/>
  <c r="U55" i="4" s="1"/>
  <c r="M72" i="17"/>
  <c r="S72" i="17" s="1"/>
  <c r="M24" i="17"/>
  <c r="S24" i="17" s="1"/>
  <c r="M52" i="19"/>
  <c r="S52" i="19" s="1"/>
  <c r="M31" i="17"/>
  <c r="S31" i="17" s="1"/>
  <c r="M72" i="4"/>
  <c r="S72" i="4" s="1"/>
  <c r="M67" i="17"/>
  <c r="S67" i="17" s="1"/>
  <c r="M67" i="4"/>
  <c r="S67" i="4" s="1"/>
  <c r="M63" i="17"/>
  <c r="S63" i="17" s="1"/>
  <c r="M21" i="17"/>
  <c r="S21" i="17" s="1"/>
  <c r="R79" i="4"/>
  <c r="M72" i="19"/>
  <c r="S72" i="19" s="1"/>
  <c r="M55" i="17"/>
  <c r="S55" i="17" s="1"/>
  <c r="M63" i="19"/>
  <c r="S63" i="19" s="1"/>
  <c r="R79" i="19"/>
  <c r="R79" i="17"/>
  <c r="M49" i="4"/>
  <c r="S49" i="4" s="1"/>
  <c r="S79" i="19" l="1"/>
  <c r="T81" i="19" s="1"/>
  <c r="R80" i="19" s="1"/>
  <c r="I20" i="18" s="1"/>
  <c r="S79" i="17"/>
  <c r="T81" i="17" s="1"/>
  <c r="O80" i="17" s="1"/>
  <c r="S79" i="4"/>
  <c r="T81" i="4" s="1"/>
  <c r="Q80" i="17" l="1"/>
  <c r="I22" i="16" s="1"/>
  <c r="R80" i="17"/>
  <c r="I21" i="16" s="1"/>
  <c r="R80" i="4"/>
  <c r="I21" i="7" s="1"/>
  <c r="P80" i="4"/>
  <c r="I23" i="7" s="1"/>
  <c r="O80" i="4"/>
  <c r="I20" i="7" s="1"/>
  <c r="S80" i="4"/>
  <c r="I37" i="7" s="1"/>
  <c r="Q80" i="4"/>
  <c r="I22" i="7" s="1"/>
  <c r="P80" i="17"/>
  <c r="I23" i="16" s="1"/>
  <c r="S80" i="17"/>
  <c r="I37" i="16" s="1"/>
  <c r="P80" i="19"/>
  <c r="I22" i="18" s="1"/>
  <c r="Q80" i="19"/>
  <c r="I21" i="18" s="1"/>
  <c r="O80" i="19"/>
  <c r="I20" i="16"/>
  <c r="S80" i="19"/>
  <c r="I35" i="18" s="1"/>
  <c r="T82" i="4" l="1"/>
  <c r="T82" i="17"/>
  <c r="D30" i="16"/>
  <c r="I30" i="16" s="1"/>
  <c r="I31" i="16" s="1"/>
  <c r="D30" i="7"/>
  <c r="I30" i="7" s="1"/>
  <c r="I31" i="7" s="1"/>
  <c r="I19" i="18"/>
  <c r="T82" i="19"/>
  <c r="D43" i="16" l="1"/>
  <c r="I33" i="16"/>
  <c r="I40" i="16" s="1"/>
  <c r="D44" i="16"/>
  <c r="D42" i="16"/>
  <c r="D43" i="7"/>
  <c r="D44" i="7"/>
  <c r="D42" i="7"/>
  <c r="I33" i="7"/>
  <c r="I40" i="7" s="1"/>
  <c r="D28" i="18"/>
  <c r="I28" i="18" s="1"/>
  <c r="I29" i="18" s="1"/>
  <c r="D41" i="18" l="1"/>
  <c r="D40" i="18"/>
  <c r="I31" i="18"/>
  <c r="I38" i="18" s="1"/>
  <c r="D4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Halich</author>
  </authors>
  <commentList>
    <comment ref="B2" authorId="0" shapeId="0" xr:uid="{00000000-0006-0000-0500-00000100000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Halich</author>
  </authors>
  <commentList>
    <comment ref="B2" authorId="0" shapeId="0" xr:uid="{00000000-0006-0000-0700-00000100000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Greg Halich</author>
  </authors>
  <commentList>
    <comment ref="B2" authorId="0" shapeId="0" xr:uid="{00000000-0006-0000-0900-00000100000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sharedStrings.xml><?xml version="1.0" encoding="utf-8"?>
<sst xmlns="http://schemas.openxmlformats.org/spreadsheetml/2006/main" count="652" uniqueCount="242">
  <si>
    <t>Field Operation</t>
  </si>
  <si>
    <t># Trips</t>
  </si>
  <si>
    <t>Fuel Use (gallons)</t>
  </si>
  <si>
    <t>Labor (hrs)</t>
  </si>
  <si>
    <t>Labor Cost</t>
  </si>
  <si>
    <t>Total</t>
  </si>
  <si>
    <t>Fuel Cost</t>
  </si>
  <si>
    <t>Total Other Cost</t>
  </si>
  <si>
    <t>Repairs</t>
  </si>
  <si>
    <t>"Fixed"</t>
  </si>
  <si>
    <t>Final Rate</t>
  </si>
  <si>
    <t>Soil Preparation:</t>
  </si>
  <si>
    <t>Moldboard Plow</t>
  </si>
  <si>
    <t>Chisel Plow</t>
  </si>
  <si>
    <t>Disk</t>
  </si>
  <si>
    <t>Disk/Chiseling</t>
  </si>
  <si>
    <t>Field Cultivation</t>
  </si>
  <si>
    <t>Harrowing</t>
  </si>
  <si>
    <t>Subsoiling</t>
  </si>
  <si>
    <t>V-Rip</t>
  </si>
  <si>
    <t>Chopping Cornstalks</t>
  </si>
  <si>
    <t>Planting (Conventional):</t>
  </si>
  <si>
    <t>Corn - 30" rows</t>
  </si>
  <si>
    <t>Corn + Fertilizer - 30" rows</t>
  </si>
  <si>
    <t>Corn + Fertilizer/Chemicals</t>
  </si>
  <si>
    <t>Soybeans</t>
  </si>
  <si>
    <t>Soybeans - 15" rows</t>
  </si>
  <si>
    <t>Soybeans - 30" rows</t>
  </si>
  <si>
    <t xml:space="preserve">Soybeans Drilled </t>
  </si>
  <si>
    <t xml:space="preserve">Small Grains Drilled </t>
  </si>
  <si>
    <t>Planting (No-Till):</t>
  </si>
  <si>
    <t>Corn Planting (gen'l) - No-Till</t>
  </si>
  <si>
    <t>Grain Harvest:</t>
  </si>
  <si>
    <t>Pick Corn</t>
  </si>
  <si>
    <t>Combine Corn (per acre)</t>
  </si>
  <si>
    <t>Combine Soybeans</t>
  </si>
  <si>
    <t>Combine Small Grains</t>
  </si>
  <si>
    <t>Complete Planting and Harvest:</t>
  </si>
  <si>
    <t>Corn</t>
  </si>
  <si>
    <t>Small Grains</t>
  </si>
  <si>
    <t>Fertilizer Application:</t>
  </si>
  <si>
    <t>Dry - Bulk (acre)</t>
  </si>
  <si>
    <t>Dry Fertilizer + Seed Broadcast</t>
  </si>
  <si>
    <t>Liquid Knife (acre)</t>
  </si>
  <si>
    <t>Liquid Spray (acre)</t>
  </si>
  <si>
    <t>Anhydrous (acre)</t>
  </si>
  <si>
    <t>Lime Application (ton)</t>
  </si>
  <si>
    <t>Lime- Lime, Deliver and Spread (ton)</t>
  </si>
  <si>
    <t>Chemical Control:</t>
  </si>
  <si>
    <t>Spraying (self-propelled)</t>
  </si>
  <si>
    <t>Spraying (pull-type)</t>
  </si>
  <si>
    <t>Highboy Spraying</t>
  </si>
  <si>
    <t>Mechanical Weed Control:</t>
  </si>
  <si>
    <t>Rotary Hoeing</t>
  </si>
  <si>
    <t>Conventional Cultivation</t>
  </si>
  <si>
    <t>Grain Cart</t>
  </si>
  <si>
    <t>Notes:</t>
  </si>
  <si>
    <t>Fuel Cost ($3.00 Base)</t>
  </si>
  <si>
    <t>Custom Work</t>
  </si>
  <si>
    <t>Y</t>
  </si>
  <si>
    <t>Unit</t>
  </si>
  <si>
    <t>Price</t>
  </si>
  <si>
    <t>Gross Returns Per Acre</t>
  </si>
  <si>
    <t>bu</t>
  </si>
  <si>
    <t>Variable Costs Per Acre</t>
  </si>
  <si>
    <t>Seed</t>
  </si>
  <si>
    <t>bags</t>
  </si>
  <si>
    <t>ton</t>
  </si>
  <si>
    <t>Herbicides</t>
  </si>
  <si>
    <t>acre</t>
  </si>
  <si>
    <t>Operating Interest</t>
  </si>
  <si>
    <t>dollars</t>
  </si>
  <si>
    <t>Total Variable Costs Per Acre</t>
  </si>
  <si>
    <t>Return Above Variable Costs Per Acre</t>
  </si>
  <si>
    <t>Budgeted Fixed Costs Per Acre</t>
  </si>
  <si>
    <t>Return Above All Specified Costs</t>
  </si>
  <si>
    <t>bu per acre to cover variable costs</t>
  </si>
  <si>
    <t>Own Labor Cost ($12.50 Base)</t>
  </si>
  <si>
    <t>Hired Labor Cost ($12.50 Base)</t>
  </si>
  <si>
    <t>Hired Labor (% of Overall Hrs)</t>
  </si>
  <si>
    <t>Hired Labor</t>
  </si>
  <si>
    <t>Machinery Depreciation and Overhead</t>
  </si>
  <si>
    <t>Questions:</t>
  </si>
  <si>
    <t>Total Revenue</t>
  </si>
  <si>
    <t xml:space="preserve"> </t>
  </si>
  <si>
    <t>Taxes and Insurance</t>
  </si>
  <si>
    <t>Machinery Rental</t>
  </si>
  <si>
    <t>Do one budget for No-Till and one for Conventional Tillage</t>
  </si>
  <si>
    <t>No-Till Corn, Per Acre Costs and Returns</t>
  </si>
  <si>
    <t>Increase</t>
  </si>
  <si>
    <t>Decrease</t>
  </si>
  <si>
    <t># Months</t>
  </si>
  <si>
    <t>Repairs % of Other (Recommend 33%)</t>
  </si>
  <si>
    <t>Totals</t>
  </si>
  <si>
    <t>Drying costs based on 2.5% avg. moisture removal: .02 gallons of LP per 1% of moisture removed.  An additional $.01 per bushel added for electricity</t>
  </si>
  <si>
    <t>gallon LP</t>
  </si>
  <si>
    <t>Fuel and Lube</t>
  </si>
  <si>
    <t xml:space="preserve">Lime - Delivered and Spread </t>
  </si>
  <si>
    <t>Own Labor</t>
  </si>
  <si>
    <t>Fixed Costs</t>
  </si>
  <si>
    <t>N</t>
  </si>
  <si>
    <t>See  Question Above</t>
  </si>
  <si>
    <t>County Agents:</t>
  </si>
  <si>
    <t xml:space="preserve">   P &amp; K applications</t>
  </si>
  <si>
    <t xml:space="preserve">   Grain Cart Needed for Soybeans?</t>
  </si>
  <si>
    <t>Zinc: 3 lbs/acre if banded and 10 lbs/acre if broadcast</t>
  </si>
  <si>
    <t>Your Efficiency Factor (Inc./Dec. Costs)</t>
  </si>
  <si>
    <t>Other Fertilizer</t>
  </si>
  <si>
    <t xml:space="preserve">Enter average on-farm desiel fuel price expected for machinery operations.  </t>
  </si>
  <si>
    <t>Enter hired labor rate.</t>
  </si>
  <si>
    <t>Enter operator labor rate - what you think your time is worth.</t>
  </si>
  <si>
    <t>You can increase or decrease each type of machinery cost by your specified percentages to the right.</t>
  </si>
  <si>
    <t>Trucking Grain (enter one-way miles above)</t>
  </si>
  <si>
    <t>Trucking Grain (one-way miles)</t>
  </si>
  <si>
    <t># Trips (enter below)</t>
  </si>
  <si>
    <t>Custom Work (enter below)</t>
  </si>
  <si>
    <t>Enter "N" if you do not want to include your own labor in the budget.</t>
  </si>
  <si>
    <t>Enter hired labor hours as a percentage of overall labor hours (operator + hired).</t>
  </si>
  <si>
    <t>Enter number of trips per acre for each field operation below.  Zero is the default for each operation.</t>
  </si>
  <si>
    <t>Custom Work (Y/N)</t>
  </si>
  <si>
    <t>Instructions for Machinery Operations:</t>
  </si>
  <si>
    <r>
      <t>Phosphorous (P</t>
    </r>
    <r>
      <rPr>
        <vertAlign val="subscript"/>
        <sz val="10"/>
        <rFont val="Arial"/>
        <family val="2"/>
      </rPr>
      <t>2</t>
    </r>
    <r>
      <rPr>
        <sz val="10"/>
        <rFont val="Arial"/>
        <family val="2"/>
      </rPr>
      <t>O</t>
    </r>
    <r>
      <rPr>
        <vertAlign val="subscript"/>
        <sz val="10"/>
        <rFont val="Arial"/>
        <family val="2"/>
      </rPr>
      <t>5</t>
    </r>
    <r>
      <rPr>
        <sz val="10"/>
        <rFont val="Arial"/>
        <family val="2"/>
      </rPr>
      <t>)</t>
    </r>
  </si>
  <si>
    <r>
      <t>Potassium (K</t>
    </r>
    <r>
      <rPr>
        <vertAlign val="subscript"/>
        <sz val="10"/>
        <rFont val="Arial"/>
        <family val="2"/>
      </rPr>
      <t>2</t>
    </r>
    <r>
      <rPr>
        <sz val="10"/>
        <rFont val="Arial"/>
        <family val="2"/>
      </rPr>
      <t>O)</t>
    </r>
  </si>
  <si>
    <t>Operator Labor (Variable Only)</t>
  </si>
  <si>
    <t>Operator Labor (Fixed Only)</t>
  </si>
  <si>
    <t>Count Own Labor as Variable Cost? (y/n)</t>
  </si>
  <si>
    <t>Trucking - make sure this makes sense at low mileage</t>
  </si>
  <si>
    <t>Your Estimated  Rate</t>
  </si>
  <si>
    <t>Your Estimated Rate (enter below)</t>
  </si>
  <si>
    <t>Enter average distance (one-way miles) to truck grain to elevator or other delivery point.</t>
  </si>
  <si>
    <t>Machinery Related Cost Estimates: No-Till Corn</t>
  </si>
  <si>
    <t xml:space="preserve">Enter "Y" below if a particular field operation will be performed by a custom operator.  Make sure to include # of trips. </t>
  </si>
  <si>
    <t>Enter below only if you have good records: Should include fuel, labor (own + hired), repairs, depreciation, and overhead.</t>
  </si>
  <si>
    <t>Pts Remove</t>
  </si>
  <si>
    <t>Count Own Labor as Variable Cost? (Y/N)</t>
  </si>
  <si>
    <t>Enter % increase or decrease in machinery related costs.</t>
  </si>
  <si>
    <t>Select "Increase" or "Decrease" if you want to adjust calculated machinery related costs.</t>
  </si>
  <si>
    <t xml:space="preserve">   Percent Inc. or Dec. Machinery Costs</t>
  </si>
  <si>
    <t>Inc./Dec. Calculated Machinery Costs</t>
  </si>
  <si>
    <t>Instructions for Using Machinery-Related Cost Estimates:</t>
  </si>
  <si>
    <t xml:space="preserve">Custom Work </t>
  </si>
  <si>
    <t>Calculate Machinery Related Costs?</t>
  </si>
  <si>
    <t xml:space="preserve">Totals after Adjusting for Custom Machinery </t>
  </si>
  <si>
    <t>For more information, contact:</t>
  </si>
  <si>
    <t>Greg Halich</t>
  </si>
  <si>
    <t>Greg.Halich@uky.edu</t>
  </si>
  <si>
    <t>859-257-8841</t>
  </si>
  <si>
    <t>Notes for Specific Sheets</t>
  </si>
  <si>
    <t xml:space="preserve">This decision tool has been created to help producers budget for corn and soybean </t>
  </si>
  <si>
    <t>Be sure to review the "Instructions" page for important information about these budgets.</t>
  </si>
  <si>
    <t>Enter "Y" if you want your own labor to be a variable cost or "N" if you want it to be a fixed cost.</t>
  </si>
  <si>
    <t xml:space="preserve">Calculating Machinery-Related Costs </t>
  </si>
  <si>
    <t>Quant.</t>
  </si>
  <si>
    <t>per bu to cover variable costs</t>
  </si>
  <si>
    <t>per bu to cover all specified costs</t>
  </si>
  <si>
    <t>Ability to enter actual fertilzer and price in tons.</t>
  </si>
  <si>
    <t>No-Till Soybeans, Per Acre Costs and Returns</t>
  </si>
  <si>
    <r>
      <t>Options evaluated</t>
    </r>
    <r>
      <rPr>
        <sz val="10"/>
        <rFont val="Arial"/>
        <family val="2"/>
      </rPr>
      <t>: No-Till Corn, Conventional Tillage Corn, No-Till Soybeans.</t>
    </r>
  </si>
  <si>
    <r>
      <t>No-Till Corn</t>
    </r>
    <r>
      <rPr>
        <sz val="12"/>
        <rFont val="Arial"/>
        <family val="2"/>
      </rPr>
      <t>:</t>
    </r>
  </si>
  <si>
    <r>
      <t>Conventional Tillage Corn</t>
    </r>
    <r>
      <rPr>
        <sz val="12"/>
        <rFont val="Arial"/>
        <family val="2"/>
      </rPr>
      <t>:</t>
    </r>
  </si>
  <si>
    <r>
      <t>No-Till Soybeans</t>
    </r>
    <r>
      <rPr>
        <sz val="12"/>
        <rFont val="Arial"/>
        <family val="2"/>
      </rPr>
      <t>:</t>
    </r>
  </si>
  <si>
    <t>P, K, and Lime Applications</t>
  </si>
  <si>
    <t>Burndown + Residual Herbicide Application</t>
  </si>
  <si>
    <t>Anhydrous Application</t>
  </si>
  <si>
    <t>No-Till Planting</t>
  </si>
  <si>
    <t>Post-Emergence Herbicide Application</t>
  </si>
  <si>
    <t xml:space="preserve">Harvesting </t>
  </si>
  <si>
    <t xml:space="preserve">   Combine</t>
  </si>
  <si>
    <t xml:space="preserve">   Grain Cart</t>
  </si>
  <si>
    <t xml:space="preserve">   Trucking </t>
  </si>
  <si>
    <t>Disking</t>
  </si>
  <si>
    <t>Planting</t>
  </si>
  <si>
    <t>Pre-Emergence Herbicide Application</t>
  </si>
  <si>
    <t>Burndown Herbicide Application</t>
  </si>
  <si>
    <t>Field Operations Included in Machinery-Related Calculations</t>
  </si>
  <si>
    <t>Conventional Tillage Corn, Per Acre Costs and Returns</t>
  </si>
  <si>
    <t>Extra Number of Labor Hours per Acre</t>
  </si>
  <si>
    <t>Footnotes:</t>
  </si>
  <si>
    <r>
      <t>Nitrogen</t>
    </r>
    <r>
      <rPr>
        <vertAlign val="superscript"/>
        <sz val="10"/>
        <rFont val="Arial"/>
        <family val="2"/>
      </rPr>
      <t>1</t>
    </r>
  </si>
  <si>
    <r>
      <t>1</t>
    </r>
    <r>
      <rPr>
        <sz val="10"/>
        <rFont val="Arial"/>
        <family val="2"/>
      </rPr>
      <t xml:space="preserve"> Assumes anhydrous ammonia (NH</t>
    </r>
    <r>
      <rPr>
        <vertAlign val="subscript"/>
        <sz val="10"/>
        <rFont val="Arial"/>
        <family val="2"/>
      </rPr>
      <t>3</t>
    </r>
    <r>
      <rPr>
        <sz val="10"/>
        <rFont val="Arial"/>
        <family val="2"/>
      </rPr>
      <t>).  Adjust as needed for other forms of nitrogen.</t>
    </r>
  </si>
  <si>
    <r>
      <t>3</t>
    </r>
    <r>
      <rPr>
        <sz val="10"/>
        <rFont val="Arial"/>
        <family val="2"/>
      </rPr>
      <t xml:space="preserve"> Cash rent varies substantially by productivity level and region in Kentucky.</t>
    </r>
  </si>
  <si>
    <r>
      <t>Insecticides (Planting and Foliar)</t>
    </r>
    <r>
      <rPr>
        <vertAlign val="superscript"/>
        <sz val="10"/>
        <rFont val="Arial"/>
        <family val="2"/>
      </rPr>
      <t>1</t>
    </r>
  </si>
  <si>
    <r>
      <t>Fungicides (Foliar)</t>
    </r>
    <r>
      <rPr>
        <vertAlign val="superscript"/>
        <sz val="10"/>
        <rFont val="Arial"/>
        <family val="2"/>
      </rPr>
      <t>1</t>
    </r>
  </si>
  <si>
    <r>
      <t>1</t>
    </r>
    <r>
      <rPr>
        <sz val="10"/>
        <rFont val="Arial"/>
        <family val="2"/>
      </rPr>
      <t xml:space="preserve"> Scout to detect any insect or disease problems and control as required.</t>
    </r>
  </si>
  <si>
    <r>
      <t>Insecticides (Planting and Foliar)</t>
    </r>
    <r>
      <rPr>
        <vertAlign val="superscript"/>
        <sz val="10"/>
        <rFont val="Arial"/>
        <family val="2"/>
      </rPr>
      <t>2</t>
    </r>
  </si>
  <si>
    <r>
      <t>Fungicides (Foliar)</t>
    </r>
    <r>
      <rPr>
        <vertAlign val="superscript"/>
        <sz val="10"/>
        <rFont val="Arial"/>
        <family val="2"/>
      </rPr>
      <t>2</t>
    </r>
  </si>
  <si>
    <r>
      <t>2</t>
    </r>
    <r>
      <rPr>
        <sz val="10"/>
        <rFont val="Arial"/>
        <family val="2"/>
      </rPr>
      <t xml:space="preserve"> Scout to detect any insect or disease problems and control as required.</t>
    </r>
  </si>
  <si>
    <r>
      <t>4</t>
    </r>
    <r>
      <rPr>
        <sz val="10"/>
        <rFont val="Arial"/>
        <family val="2"/>
      </rPr>
      <t xml:space="preserve"> Cash rent varies substantially by productivity level and region in Kentucky.</t>
    </r>
  </si>
  <si>
    <r>
      <t>Crop Insurance</t>
    </r>
    <r>
      <rPr>
        <vertAlign val="superscript"/>
        <sz val="10"/>
        <rFont val="Arial"/>
        <family val="2"/>
      </rPr>
      <t>3</t>
    </r>
  </si>
  <si>
    <r>
      <t>Cash Rent</t>
    </r>
    <r>
      <rPr>
        <vertAlign val="superscript"/>
        <sz val="10"/>
        <rFont val="Arial"/>
        <family val="2"/>
      </rPr>
      <t>4</t>
    </r>
  </si>
  <si>
    <r>
      <t>2</t>
    </r>
    <r>
      <rPr>
        <sz val="10"/>
        <rFont val="Arial"/>
        <family val="2"/>
      </rPr>
      <t xml:space="preserve"> Crop insurance varies substantially by policy type and coverage level.</t>
    </r>
  </si>
  <si>
    <r>
      <t>3</t>
    </r>
    <r>
      <rPr>
        <sz val="10"/>
        <rFont val="Arial"/>
        <family val="2"/>
      </rPr>
      <t xml:space="preserve"> Crop insurance varies substantially by policy type and coverage level.</t>
    </r>
  </si>
  <si>
    <t>Drying: LP, Electric, Maint &amp; Labor</t>
  </si>
  <si>
    <t>Other Fixed Costs</t>
  </si>
  <si>
    <t>Other Variable Costs</t>
  </si>
  <si>
    <t>Fuel Cost ($/gallon)</t>
  </si>
  <si>
    <t>Own Labor Cost ($/hr)</t>
  </si>
  <si>
    <t>Hired Labor Cost ($/hr)</t>
  </si>
  <si>
    <t>Base Fuel Cost</t>
  </si>
  <si>
    <r>
      <t>Crop Insurance</t>
    </r>
    <r>
      <rPr>
        <vertAlign val="superscript"/>
        <sz val="10"/>
        <rFont val="Arial"/>
        <family val="2"/>
      </rPr>
      <t>2</t>
    </r>
  </si>
  <si>
    <r>
      <t>Cash Rent</t>
    </r>
    <r>
      <rPr>
        <vertAlign val="superscript"/>
        <sz val="10"/>
        <rFont val="Arial"/>
        <family val="2"/>
      </rPr>
      <t>3</t>
    </r>
  </si>
  <si>
    <t>units</t>
  </si>
  <si>
    <t>Gov't Program Payment</t>
  </si>
  <si>
    <t>Crop Insurance Payment</t>
  </si>
  <si>
    <t>Associate Extension Professor</t>
  </si>
  <si>
    <r>
      <t>Machinery Calculation Sheet</t>
    </r>
    <r>
      <rPr>
        <u/>
        <sz val="10"/>
        <rFont val="Arial"/>
        <family val="2"/>
      </rPr>
      <t>:</t>
    </r>
    <r>
      <rPr>
        <sz val="10"/>
        <rFont val="Arial"/>
        <family val="2"/>
      </rPr>
      <t xml:space="preserve"> Use this sheet if you want your machinery-related costs calculated based on the publication "Custom Machinery Rates Applicable to Kentucky".  These estimates include fuel, labor, repairs, overhead and depreciation.  Otherwise, you enter your estimates directly in the budgets.  When using this sheet follow the specific instructions noted directly in the sheet itself.  You can change the base fuel price, labor rate(s), trucking distance, and other parameters (highlighted in blue).  Finally, you can also increase or decrease the calculated rates by your specified percentage.  To use these calculations, make sure to answer "yes" to the question "Calculate Machinery Related Costs" in each buget.     </t>
    </r>
  </si>
  <si>
    <r>
      <t>No-Till Corn Sheet</t>
    </r>
    <r>
      <rPr>
        <sz val="10"/>
        <rFont val="Arial"/>
        <family val="2"/>
      </rPr>
      <t xml:space="preserve">: Enter fertilizer (N,P,K) on an elemental (unit) basis.  User can either estimate their own machinery-related costs or have them calculated based on the publication "Custom Machinery Rates Applicable to Kentucky" (see above).  To have them calculated, enter "Y" to the question "Calculate Machinery Related Costs?".  Be sure to specify the average points per bushel that you will dry your corn down by.  </t>
    </r>
  </si>
  <si>
    <r>
      <t>Conventional Tillage Corn Sheet</t>
    </r>
    <r>
      <rPr>
        <sz val="10"/>
        <rFont val="Arial"/>
        <family val="2"/>
      </rPr>
      <t xml:space="preserve">: Enter fertilizer (N,P,K) on an elemental (unit) basis.  User can either estimate their own machinery-related costs or have them calculated based on the publication "Custom Machinery Rates Applicable to Kentucky" (see above).  To have them calculated, enter "Y" to the question "Calculate Machinery Related Costs?".  Be sure to specify the average points per bushel that you will dry your corn down by.  </t>
    </r>
  </si>
  <si>
    <r>
      <t>No-Till Soybean Sheet</t>
    </r>
    <r>
      <rPr>
        <sz val="10"/>
        <rFont val="Arial"/>
        <family val="2"/>
      </rPr>
      <t xml:space="preserve">: Enter fertilizer (P,K) on an elemental (unit) basis.  User can either estimate their own machinery-related costs or have them calculated based on the publication "Custom Machinery Rates Applicable to Kentucky" (see above).  To have them calculated, enter "Y" to the question "Calculate Machinery Related Costs?".  </t>
    </r>
  </si>
  <si>
    <t>From Regr</t>
  </si>
  <si>
    <t>Adjustments (Actual)</t>
  </si>
  <si>
    <t>Avg bu</t>
  </si>
  <si>
    <t>MPG (avg)</t>
  </si>
  <si>
    <t xml:space="preserve">Add't Lube </t>
  </si>
  <si>
    <t>Wait/Unload (min)</t>
  </si>
  <si>
    <t xml:space="preserve">Labor </t>
  </si>
  <si>
    <t>Avg. Speed (MPH)</t>
  </si>
  <si>
    <t>Fuel Price (Road)</t>
  </si>
  <si>
    <t>Linear+Sq</t>
  </si>
  <si>
    <t>Intercept</t>
  </si>
  <si>
    <t>Miles</t>
  </si>
  <si>
    <t>Miles2</t>
  </si>
  <si>
    <t>Rate w/out Fuel &amp; Labor ($/bu)</t>
  </si>
  <si>
    <t>Rate w/out Fuel &amp; Labor ($/bu) Adj. CPI</t>
  </si>
  <si>
    <t>Fuel ($/bu)</t>
  </si>
  <si>
    <t>Labor $/bu</t>
  </si>
  <si>
    <t>Final Rate ($/bu)</t>
  </si>
  <si>
    <t>Farm to Road Fuel Adj.</t>
  </si>
  <si>
    <t>Just use most recent Custom rate survey and use CPI adjustment from 2015 to present (2015 trucking data used in regression)</t>
  </si>
  <si>
    <t>CPI Adj (2015 base)</t>
  </si>
  <si>
    <t>Actual Distance and Cost</t>
  </si>
  <si>
    <t>Final Rate ($) (Entire Load)</t>
  </si>
  <si>
    <t>Fuel Cost (Current)</t>
  </si>
  <si>
    <t>Base Fuel Cost (from custom survey)</t>
  </si>
  <si>
    <t>May want to change this in the future…</t>
  </si>
  <si>
    <r>
      <t>Purpose</t>
    </r>
    <r>
      <rPr>
        <sz val="10"/>
        <rFont val="Arial"/>
        <family val="2"/>
      </rPr>
      <t>: This Decision Aid has been constructed to help producers budget for corn and soybean production.</t>
    </r>
  </si>
  <si>
    <t xml:space="preserve">production.  To navigate through the tool, please click on the tabs below.  </t>
  </si>
  <si>
    <t>Base Survey</t>
  </si>
  <si>
    <t>Corn and Soybean Budgets</t>
  </si>
  <si>
    <t>Department of Agricultural Economics</t>
  </si>
  <si>
    <t>Corn and Soybean Budgets 2025</t>
  </si>
  <si>
    <t>Last Updated 3/24/25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</si>
</sst>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quot;$&quot;#,##0"/>
    <numFmt numFmtId="166" formatCode="0.0%"/>
    <numFmt numFmtId="167" formatCode="#,##0.0"/>
    <numFmt numFmtId="168" formatCode="0.0"/>
    <numFmt numFmtId="169" formatCode="&quot;$&quot;#,##0.000"/>
    <numFmt numFmtId="170" formatCode="0.0000000"/>
  </numFmts>
  <fonts count="30" x14ac:knownFonts="1">
    <font>
      <sz val="10"/>
      <name val="Arial"/>
    </font>
    <font>
      <b/>
      <sz val="10"/>
      <name val="Arial"/>
      <family val="2"/>
    </font>
    <font>
      <b/>
      <u/>
      <sz val="10"/>
      <name val="Arial"/>
      <family val="2"/>
    </font>
    <font>
      <sz val="10"/>
      <name val="Arial"/>
      <family val="2"/>
    </font>
    <font>
      <b/>
      <i/>
      <sz val="10"/>
      <name val="Arial"/>
      <family val="2"/>
    </font>
    <font>
      <b/>
      <sz val="10"/>
      <color indexed="12"/>
      <name val="Arial"/>
      <family val="2"/>
    </font>
    <font>
      <sz val="8"/>
      <name val="Arial"/>
      <family val="2"/>
    </font>
    <font>
      <b/>
      <sz val="12"/>
      <name val="Arial"/>
      <family val="2"/>
    </font>
    <font>
      <b/>
      <sz val="12"/>
      <color indexed="9"/>
      <name val="Arial"/>
      <family val="2"/>
    </font>
    <font>
      <u/>
      <sz val="10"/>
      <name val="Arial"/>
      <family val="2"/>
    </font>
    <font>
      <b/>
      <u/>
      <sz val="16"/>
      <name val="Arial"/>
      <family val="2"/>
    </font>
    <font>
      <vertAlign val="subscript"/>
      <sz val="10"/>
      <name val="Arial"/>
      <family val="2"/>
    </font>
    <font>
      <b/>
      <sz val="14"/>
      <name val="Arial"/>
      <family val="2"/>
    </font>
    <font>
      <u/>
      <sz val="10"/>
      <color indexed="12"/>
      <name val="Arial"/>
      <family val="2"/>
    </font>
    <font>
      <sz val="9"/>
      <name val="Arial"/>
      <family val="2"/>
    </font>
    <font>
      <sz val="11"/>
      <name val="Arial"/>
      <family val="2"/>
    </font>
    <font>
      <sz val="12"/>
      <name val="Arial"/>
      <family val="2"/>
    </font>
    <font>
      <b/>
      <u/>
      <sz val="12"/>
      <name val="Arial"/>
      <family val="2"/>
    </font>
    <font>
      <b/>
      <sz val="12"/>
      <color indexed="12"/>
      <name val="Arial"/>
      <family val="2"/>
    </font>
    <font>
      <b/>
      <u/>
      <sz val="12"/>
      <name val="Arial"/>
      <family val="2"/>
    </font>
    <font>
      <sz val="12"/>
      <name val="Arial"/>
      <family val="2"/>
    </font>
    <font>
      <u/>
      <sz val="12"/>
      <name val="Arial"/>
      <family val="2"/>
    </font>
    <font>
      <vertAlign val="superscript"/>
      <sz val="10"/>
      <name val="Arial"/>
      <family val="2"/>
    </font>
    <font>
      <sz val="14"/>
      <name val="Arial"/>
      <family val="2"/>
    </font>
    <font>
      <sz val="8"/>
      <color indexed="81"/>
      <name val="Tahoma"/>
      <family val="2"/>
    </font>
    <font>
      <b/>
      <sz val="8"/>
      <color indexed="81"/>
      <name val="Tahoma"/>
      <family val="2"/>
    </font>
    <font>
      <b/>
      <sz val="10"/>
      <color indexed="30"/>
      <name val="Arial"/>
      <family val="2"/>
    </font>
    <font>
      <b/>
      <sz val="10"/>
      <color theme="1"/>
      <name val="Arial"/>
      <family val="2"/>
    </font>
    <font>
      <b/>
      <i/>
      <u/>
      <sz val="10"/>
      <name val="Arial"/>
      <family val="2"/>
    </font>
    <font>
      <i/>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1"/>
        <bgColor indexed="64"/>
      </patternFill>
    </fill>
    <fill>
      <patternFill patternType="solid">
        <fgColor indexed="15"/>
        <bgColor indexed="64"/>
      </patternFill>
    </fill>
    <fill>
      <patternFill patternType="solid">
        <fgColor rgb="FFFFFF00"/>
        <bgColor indexed="64"/>
      </patternFill>
    </fill>
    <fill>
      <patternFill patternType="solid">
        <fgColor rgb="FFB1C9E8"/>
        <bgColor indexed="64"/>
      </patternFill>
    </fill>
    <fill>
      <patternFill patternType="solid">
        <fgColor rgb="FF0033A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85">
    <xf numFmtId="0" fontId="0" fillId="0" borderId="0" xfId="0"/>
    <xf numFmtId="0" fontId="1" fillId="0" borderId="0" xfId="0" applyFont="1" applyAlignment="1">
      <alignment horizontal="center" wrapText="1"/>
    </xf>
    <xf numFmtId="164" fontId="0" fillId="0" borderId="0" xfId="0" applyNumberFormat="1"/>
    <xf numFmtId="0" fontId="1" fillId="0" borderId="1" xfId="0" applyFont="1" applyBorder="1" applyAlignment="1">
      <alignment horizontal="center" wrapText="1"/>
    </xf>
    <xf numFmtId="0" fontId="0" fillId="0" borderId="1" xfId="0" applyBorder="1"/>
    <xf numFmtId="164" fontId="0" fillId="0" borderId="1" xfId="0" applyNumberFormat="1" applyBorder="1"/>
    <xf numFmtId="164" fontId="4" fillId="2" borderId="1" xfId="0" applyNumberFormat="1" applyFont="1" applyFill="1" applyBorder="1"/>
    <xf numFmtId="0" fontId="0" fillId="2" borderId="1" xfId="0" applyFill="1" applyBorder="1"/>
    <xf numFmtId="164" fontId="0" fillId="2" borderId="1" xfId="0" applyNumberFormat="1" applyFill="1" applyBorder="1"/>
    <xf numFmtId="164" fontId="4" fillId="0" borderId="1" xfId="0" applyNumberFormat="1" applyFont="1" applyBorder="1"/>
    <xf numFmtId="164" fontId="4" fillId="0" borderId="0" xfId="0" applyNumberFormat="1" applyFont="1"/>
    <xf numFmtId="0" fontId="4" fillId="0" borderId="0" xfId="0" applyFont="1"/>
    <xf numFmtId="0" fontId="2" fillId="0" borderId="1" xfId="0" applyFont="1" applyBorder="1"/>
    <xf numFmtId="2" fontId="3" fillId="0" borderId="1" xfId="0" applyNumberFormat="1" applyFont="1" applyBorder="1"/>
    <xf numFmtId="4" fontId="3" fillId="0" borderId="1" xfId="0" applyNumberFormat="1" applyFont="1" applyBorder="1"/>
    <xf numFmtId="164" fontId="4" fillId="0" borderId="1" xfId="0" applyNumberFormat="1" applyFont="1" applyBorder="1" applyAlignment="1">
      <alignment horizontal="right"/>
    </xf>
    <xf numFmtId="164" fontId="5" fillId="0" borderId="1" xfId="0" applyNumberFormat="1" applyFont="1" applyBorder="1"/>
    <xf numFmtId="9" fontId="5" fillId="0" borderId="1" xfId="0" applyNumberFormat="1" applyFont="1" applyBorder="1"/>
    <xf numFmtId="2" fontId="3" fillId="2" borderId="1" xfId="0" applyNumberFormat="1" applyFont="1" applyFill="1" applyBorder="1"/>
    <xf numFmtId="4" fontId="3" fillId="2" borderId="1" xfId="0" applyNumberFormat="1" applyFont="1" applyFill="1" applyBorder="1"/>
    <xf numFmtId="0" fontId="4" fillId="0" borderId="1" xfId="0" applyFont="1" applyBorder="1"/>
    <xf numFmtId="0" fontId="1" fillId="0" borderId="0" xfId="0" applyFont="1"/>
    <xf numFmtId="164" fontId="4" fillId="3" borderId="1" xfId="0" applyNumberFormat="1" applyFont="1" applyFill="1" applyBorder="1"/>
    <xf numFmtId="0" fontId="3" fillId="0" borderId="0" xfId="0" applyFont="1"/>
    <xf numFmtId="0" fontId="10" fillId="0" borderId="0" xfId="0" applyFont="1"/>
    <xf numFmtId="0" fontId="0" fillId="0" borderId="0" xfId="0" applyAlignment="1">
      <alignment wrapText="1"/>
    </xf>
    <xf numFmtId="169" fontId="0" fillId="0" borderId="0" xfId="0" applyNumberFormat="1"/>
    <xf numFmtId="0" fontId="0" fillId="0" borderId="1" xfId="0" applyBorder="1" applyAlignment="1">
      <alignment wrapText="1"/>
    </xf>
    <xf numFmtId="0" fontId="1" fillId="0" borderId="1" xfId="0" applyFont="1" applyBorder="1"/>
    <xf numFmtId="0" fontId="3" fillId="0" borderId="1" xfId="0" applyFont="1" applyBorder="1"/>
    <xf numFmtId="164" fontId="1" fillId="0" borderId="1" xfId="0" applyNumberFormat="1" applyFont="1" applyBorder="1" applyAlignment="1">
      <alignment horizontal="center"/>
    </xf>
    <xf numFmtId="164" fontId="9" fillId="0" borderId="1" xfId="0" applyNumberFormat="1" applyFont="1" applyBorder="1"/>
    <xf numFmtId="0" fontId="0" fillId="4" borderId="1" xfId="0" applyFill="1" applyBorder="1"/>
    <xf numFmtId="0" fontId="1" fillId="4" borderId="1" xfId="0" applyFont="1" applyFill="1" applyBorder="1" applyAlignment="1">
      <alignment horizontal="center" wrapText="1"/>
    </xf>
    <xf numFmtId="168" fontId="0" fillId="4" borderId="1" xfId="0" applyNumberFormat="1" applyFill="1" applyBorder="1"/>
    <xf numFmtId="168"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168" fontId="5" fillId="4" borderId="1" xfId="0" applyNumberFormat="1" applyFont="1" applyFill="1" applyBorder="1" applyAlignment="1">
      <alignment horizontal="center"/>
    </xf>
    <xf numFmtId="1" fontId="5" fillId="4" borderId="1" xfId="0" applyNumberFormat="1" applyFont="1" applyFill="1" applyBorder="1" applyAlignment="1">
      <alignment horizontal="center"/>
    </xf>
    <xf numFmtId="164" fontId="0" fillId="4" borderId="1" xfId="0" applyNumberFormat="1" applyFill="1" applyBorder="1"/>
    <xf numFmtId="168" fontId="5" fillId="2" borderId="1" xfId="0" applyNumberFormat="1" applyFont="1" applyFill="1" applyBorder="1" applyAlignment="1">
      <alignment horizontal="center"/>
    </xf>
    <xf numFmtId="1" fontId="5" fillId="2" borderId="1" xfId="0" applyNumberFormat="1" applyFont="1" applyFill="1" applyBorder="1" applyAlignment="1">
      <alignment horizontal="center"/>
    </xf>
    <xf numFmtId="164" fontId="5" fillId="0" borderId="2" xfId="0" applyNumberFormat="1" applyFont="1" applyBorder="1"/>
    <xf numFmtId="9" fontId="5" fillId="0" borderId="2" xfId="0" applyNumberFormat="1" applyFont="1" applyBorder="1"/>
    <xf numFmtId="4" fontId="0" fillId="4" borderId="1" xfId="0" applyNumberFormat="1" applyFill="1" applyBorder="1"/>
    <xf numFmtId="4" fontId="3" fillId="4" borderId="1" xfId="0" applyNumberFormat="1" applyFont="1" applyFill="1" applyBorder="1" applyAlignment="1">
      <alignment horizontal="center"/>
    </xf>
    <xf numFmtId="164" fontId="5" fillId="4" borderId="1" xfId="0" applyNumberFormat="1" applyFont="1" applyFill="1" applyBorder="1" applyAlignment="1">
      <alignment horizontal="center"/>
    </xf>
    <xf numFmtId="164" fontId="5" fillId="2" borderId="1" xfId="0" applyNumberFormat="1" applyFont="1" applyFill="1" applyBorder="1" applyAlignment="1">
      <alignment horizontal="center"/>
    </xf>
    <xf numFmtId="164" fontId="3" fillId="4" borderId="1" xfId="0" applyNumberFormat="1" applyFont="1" applyFill="1" applyBorder="1" applyAlignment="1">
      <alignment horizontal="center"/>
    </xf>
    <xf numFmtId="0" fontId="0" fillId="0" borderId="2" xfId="0" applyBorder="1"/>
    <xf numFmtId="9" fontId="5" fillId="4" borderId="1" xfId="0" applyNumberFormat="1" applyFont="1" applyFill="1" applyBorder="1"/>
    <xf numFmtId="164" fontId="1" fillId="0" borderId="1" xfId="0" applyNumberFormat="1" applyFont="1" applyBorder="1"/>
    <xf numFmtId="9" fontId="1" fillId="0" borderId="1" xfId="0" applyNumberFormat="1" applyFont="1" applyBorder="1" applyAlignment="1">
      <alignment horizontal="center"/>
    </xf>
    <xf numFmtId="1" fontId="1" fillId="0" borderId="1" xfId="0" applyNumberFormat="1" applyFont="1" applyBorder="1" applyAlignment="1">
      <alignment horizontal="center"/>
    </xf>
    <xf numFmtId="0" fontId="1" fillId="0" borderId="1" xfId="0" applyFont="1" applyBorder="1" applyAlignment="1">
      <alignment horizontal="center"/>
    </xf>
    <xf numFmtId="0" fontId="2" fillId="0" borderId="0" xfId="0" applyFont="1" applyAlignment="1">
      <alignment vertical="center"/>
    </xf>
    <xf numFmtId="0" fontId="2" fillId="0" borderId="1" xfId="0" applyFont="1" applyBorder="1" applyAlignment="1">
      <alignment wrapText="1"/>
    </xf>
    <xf numFmtId="0" fontId="14" fillId="0" borderId="0" xfId="0" applyFont="1" applyAlignment="1">
      <alignment wrapText="1"/>
    </xf>
    <xf numFmtId="165" fontId="0" fillId="0" borderId="1" xfId="0" applyNumberFormat="1" applyBorder="1"/>
    <xf numFmtId="0" fontId="15" fillId="0" borderId="1" xfId="0" applyFont="1" applyBorder="1"/>
    <xf numFmtId="0" fontId="16" fillId="0" borderId="1" xfId="0" applyFont="1" applyBorder="1"/>
    <xf numFmtId="0" fontId="20" fillId="0" borderId="0" xfId="0" applyFont="1"/>
    <xf numFmtId="0" fontId="21" fillId="0" borderId="0" xfId="0" applyFont="1"/>
    <xf numFmtId="0" fontId="6" fillId="0" borderId="0" xfId="0" applyFont="1"/>
    <xf numFmtId="0" fontId="1" fillId="2" borderId="1" xfId="0" applyFont="1" applyFill="1" applyBorder="1" applyAlignment="1">
      <alignment horizontal="center" wrapText="1"/>
    </xf>
    <xf numFmtId="2" fontId="5" fillId="2" borderId="1" xfId="0" applyNumberFormat="1" applyFont="1" applyFill="1" applyBorder="1" applyAlignment="1">
      <alignment horizontal="center"/>
    </xf>
    <xf numFmtId="0" fontId="18" fillId="0" borderId="1" xfId="0" applyFont="1" applyBorder="1" applyAlignment="1" applyProtection="1">
      <alignment horizontal="center"/>
      <protection locked="0"/>
    </xf>
    <xf numFmtId="9" fontId="18" fillId="0" borderId="1" xfId="0" applyNumberFormat="1" applyFont="1" applyBorder="1" applyAlignment="1" applyProtection="1">
      <alignment horizontal="center"/>
      <protection locked="0"/>
    </xf>
    <xf numFmtId="164" fontId="18" fillId="0" borderId="1" xfId="0" applyNumberFormat="1" applyFont="1" applyBorder="1" applyAlignment="1" applyProtection="1">
      <alignment horizontal="center"/>
      <protection locked="0"/>
    </xf>
    <xf numFmtId="1" fontId="18" fillId="0" borderId="1" xfId="0" applyNumberFormat="1" applyFont="1" applyBorder="1" applyAlignment="1" applyProtection="1">
      <alignment horizontal="center"/>
      <protection locked="0"/>
    </xf>
    <xf numFmtId="0" fontId="5" fillId="0" borderId="1" xfId="0" applyFont="1" applyBorder="1" applyProtection="1">
      <protection locked="0"/>
    </xf>
    <xf numFmtId="2" fontId="5" fillId="0" borderId="1" xfId="0" applyNumberFormat="1" applyFont="1" applyBorder="1" applyProtection="1">
      <protection locked="0"/>
    </xf>
    <xf numFmtId="164" fontId="5" fillId="0" borderId="1" xfId="0" applyNumberFormat="1" applyFont="1" applyBorder="1" applyProtection="1">
      <protection locked="0"/>
    </xf>
    <xf numFmtId="164" fontId="5" fillId="4" borderId="2" xfId="0" applyNumberFormat="1" applyFont="1" applyFill="1" applyBorder="1" applyAlignment="1" applyProtection="1">
      <alignment horizontal="right"/>
      <protection locked="0"/>
    </xf>
    <xf numFmtId="166" fontId="5" fillId="0" borderId="1" xfId="0" applyNumberFormat="1" applyFont="1" applyBorder="1" applyProtection="1">
      <protection locked="0"/>
    </xf>
    <xf numFmtId="167" fontId="5" fillId="0" borderId="1" xfId="0" applyNumberFormat="1" applyFont="1" applyBorder="1" applyAlignment="1" applyProtection="1">
      <alignment horizontal="center"/>
      <protection locked="0"/>
    </xf>
    <xf numFmtId="1" fontId="5" fillId="0" borderId="1" xfId="0" applyNumberFormat="1" applyFont="1" applyBorder="1" applyAlignment="1" applyProtection="1">
      <alignment horizontal="center"/>
      <protection locked="0"/>
    </xf>
    <xf numFmtId="168" fontId="5" fillId="0" borderId="1" xfId="0" applyNumberFormat="1" applyFont="1" applyBorder="1" applyProtection="1">
      <protection locked="0"/>
    </xf>
    <xf numFmtId="164" fontId="3" fillId="0" borderId="1" xfId="0" applyNumberFormat="1" applyFont="1" applyBorder="1"/>
    <xf numFmtId="0" fontId="0" fillId="0" borderId="0" xfId="0" applyAlignment="1">
      <alignment horizontal="center"/>
    </xf>
    <xf numFmtId="0" fontId="0" fillId="0" borderId="1" xfId="0" applyBorder="1" applyAlignment="1">
      <alignment horizontal="center" wrapText="1"/>
    </xf>
    <xf numFmtId="1" fontId="1" fillId="0" borderId="1" xfId="0" applyNumberFormat="1" applyFont="1" applyBorder="1"/>
    <xf numFmtId="1" fontId="26" fillId="0" borderId="1" xfId="0" applyNumberFormat="1" applyFont="1" applyBorder="1"/>
    <xf numFmtId="168" fontId="27" fillId="0" borderId="1" xfId="0" applyNumberFormat="1" applyFont="1" applyBorder="1"/>
    <xf numFmtId="168" fontId="26" fillId="0" borderId="1" xfId="0" applyNumberFormat="1" applyFont="1" applyBorder="1"/>
    <xf numFmtId="9" fontId="27" fillId="0" borderId="1" xfId="0" applyNumberFormat="1" applyFont="1" applyBorder="1"/>
    <xf numFmtId="9" fontId="26" fillId="0" borderId="1" xfId="0" applyNumberFormat="1" applyFont="1" applyBorder="1"/>
    <xf numFmtId="1" fontId="27" fillId="0" borderId="1" xfId="0" applyNumberFormat="1" applyFont="1" applyBorder="1"/>
    <xf numFmtId="164" fontId="27" fillId="0" borderId="1" xfId="0" applyNumberFormat="1" applyFont="1" applyBorder="1"/>
    <xf numFmtId="1" fontId="1" fillId="0" borderId="0" xfId="0" applyNumberFormat="1" applyFont="1"/>
    <xf numFmtId="1" fontId="26" fillId="0" borderId="0" xfId="0" applyNumberFormat="1" applyFont="1"/>
    <xf numFmtId="0" fontId="28" fillId="0" borderId="0" xfId="0" applyFont="1"/>
    <xf numFmtId="170" fontId="5" fillId="0" borderId="0" xfId="0" applyNumberFormat="1" applyFont="1"/>
    <xf numFmtId="0" fontId="0" fillId="0" borderId="15" xfId="0" applyBorder="1"/>
    <xf numFmtId="0" fontId="3" fillId="0" borderId="0" xfId="0" applyFont="1" applyAlignment="1">
      <alignment horizontal="center" wrapText="1"/>
    </xf>
    <xf numFmtId="0" fontId="3" fillId="5" borderId="0" xfId="0" applyFont="1" applyFill="1" applyAlignment="1">
      <alignment horizontal="center" wrapText="1"/>
    </xf>
    <xf numFmtId="169" fontId="0" fillId="5" borderId="0" xfId="0" applyNumberFormat="1" applyFill="1"/>
    <xf numFmtId="165" fontId="0" fillId="0" borderId="0" xfId="0" applyNumberFormat="1"/>
    <xf numFmtId="0" fontId="0" fillId="6" borderId="0" xfId="0" applyFill="1"/>
    <xf numFmtId="164" fontId="5" fillId="2" borderId="1" xfId="0" applyNumberFormat="1" applyFont="1" applyFill="1" applyBorder="1"/>
    <xf numFmtId="1" fontId="26" fillId="6" borderId="1" xfId="0" applyNumberFormat="1" applyFont="1" applyFill="1" applyBorder="1"/>
    <xf numFmtId="0" fontId="3" fillId="6" borderId="0" xfId="0" applyFont="1" applyFill="1"/>
    <xf numFmtId="0" fontId="29" fillId="6" borderId="0" xfId="0" applyFont="1" applyFill="1"/>
    <xf numFmtId="169" fontId="4" fillId="0" borderId="0" xfId="0" applyNumberFormat="1" applyFont="1"/>
    <xf numFmtId="169" fontId="4" fillId="5" borderId="0" xfId="0" applyNumberFormat="1" applyFont="1" applyFill="1"/>
    <xf numFmtId="165" fontId="4" fillId="0" borderId="0" xfId="0" applyNumberFormat="1" applyFont="1"/>
    <xf numFmtId="164" fontId="1" fillId="6" borderId="1" xfId="0" applyNumberFormat="1" applyFont="1" applyFill="1" applyBorder="1"/>
    <xf numFmtId="164" fontId="5" fillId="6" borderId="1" xfId="0" applyNumberFormat="1" applyFont="1" applyFill="1" applyBorder="1" applyAlignment="1">
      <alignment horizontal="center"/>
    </xf>
    <xf numFmtId="1" fontId="4" fillId="6" borderId="0" xfId="0" applyNumberFormat="1" applyFont="1" applyFill="1"/>
    <xf numFmtId="0" fontId="0" fillId="7" borderId="0" xfId="0" applyFill="1"/>
    <xf numFmtId="0" fontId="13" fillId="7" borderId="0" xfId="1" applyFill="1" applyAlignment="1" applyProtection="1"/>
    <xf numFmtId="0" fontId="12"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164" fontId="5" fillId="0" borderId="1" xfId="0" applyNumberFormat="1" applyFont="1" applyBorder="1" applyAlignment="1" applyProtection="1">
      <alignment vertical="center"/>
      <protection locked="0"/>
    </xf>
    <xf numFmtId="2" fontId="5" fillId="4" borderId="1" xfId="0" applyNumberFormat="1" applyFont="1" applyFill="1" applyBorder="1" applyAlignment="1">
      <alignment horizontal="center"/>
    </xf>
    <xf numFmtId="165" fontId="8" fillId="8" borderId="1" xfId="0" applyNumberFormat="1" applyFont="1" applyFill="1" applyBorder="1"/>
    <xf numFmtId="1" fontId="8" fillId="8" borderId="1" xfId="0" applyNumberFormat="1" applyFont="1" applyFill="1" applyBorder="1"/>
    <xf numFmtId="164" fontId="8" fillId="8" borderId="1" xfId="0" applyNumberFormat="1" applyFont="1" applyFill="1" applyBorder="1"/>
    <xf numFmtId="0" fontId="12" fillId="7" borderId="0" xfId="0" applyFont="1" applyFill="1" applyAlignment="1">
      <alignment horizontal="center" vertical="center" wrapText="1"/>
    </xf>
    <xf numFmtId="0" fontId="23" fillId="7" borderId="0" xfId="0" applyFont="1" applyFill="1" applyAlignment="1">
      <alignment wrapText="1"/>
    </xf>
    <xf numFmtId="0" fontId="0" fillId="0" borderId="0" xfId="0" applyAlignment="1">
      <alignment horizontal="center"/>
    </xf>
    <xf numFmtId="0" fontId="4" fillId="7" borderId="0" xfId="0" applyFont="1" applyFill="1" applyAlignment="1">
      <alignment horizontal="center"/>
    </xf>
    <xf numFmtId="0" fontId="4" fillId="0" borderId="0" xfId="0" applyFont="1" applyAlignment="1">
      <alignment horizontal="center"/>
    </xf>
    <xf numFmtId="0" fontId="12" fillId="0" borderId="2" xfId="0" applyFont="1" applyBorder="1" applyAlignment="1">
      <alignment horizontal="center"/>
    </xf>
    <xf numFmtId="0" fontId="12" fillId="0" borderId="4" xfId="0" applyFont="1" applyBorder="1" applyAlignment="1">
      <alignment horizontal="center"/>
    </xf>
    <xf numFmtId="0" fontId="0" fillId="0" borderId="3" xfId="0" applyBorder="1"/>
    <xf numFmtId="0" fontId="16" fillId="0" borderId="2" xfId="0" applyFont="1" applyBorder="1"/>
    <xf numFmtId="0" fontId="16" fillId="0" borderId="3" xfId="0" applyFont="1" applyBorder="1"/>
    <xf numFmtId="0" fontId="17" fillId="0" borderId="2" xfId="0" applyFont="1" applyBorder="1" applyAlignment="1">
      <alignment horizontal="left"/>
    </xf>
    <xf numFmtId="0" fontId="19" fillId="0" borderId="0" xfId="0" applyFont="1" applyAlignment="1">
      <alignment horizontal="center"/>
    </xf>
    <xf numFmtId="0" fontId="15" fillId="0" borderId="2" xfId="0" applyFont="1" applyBorder="1"/>
    <xf numFmtId="0" fontId="0" fillId="0" borderId="0" xfId="0" applyAlignment="1">
      <alignment wrapText="1"/>
    </xf>
    <xf numFmtId="0" fontId="22" fillId="0" borderId="0" xfId="0" applyFont="1" applyAlignment="1">
      <alignment wrapText="1"/>
    </xf>
    <xf numFmtId="0" fontId="9" fillId="0" borderId="0" xfId="0" applyFont="1" applyAlignment="1">
      <alignment wrapText="1"/>
    </xf>
    <xf numFmtId="164" fontId="1" fillId="4" borderId="5" xfId="0" applyNumberFormat="1" applyFont="1" applyFill="1" applyBorder="1" applyAlignment="1">
      <alignment horizontal="center" wrapText="1"/>
    </xf>
    <xf numFmtId="164" fontId="1" fillId="4" borderId="6" xfId="0" applyNumberFormat="1" applyFont="1" applyFill="1" applyBorder="1" applyAlignment="1">
      <alignment horizontal="center" wrapText="1"/>
    </xf>
    <xf numFmtId="0" fontId="3" fillId="4" borderId="7" xfId="0" applyFont="1" applyFill="1" applyBorder="1" applyAlignment="1">
      <alignment horizontal="center" wrapText="1"/>
    </xf>
    <xf numFmtId="0" fontId="3" fillId="4" borderId="8" xfId="0" applyFont="1" applyFill="1" applyBorder="1" applyAlignment="1">
      <alignment horizontal="center" wrapText="1"/>
    </xf>
    <xf numFmtId="164" fontId="5" fillId="0" borderId="1" xfId="0" applyNumberFormat="1" applyFont="1" applyBorder="1"/>
    <xf numFmtId="0" fontId="1" fillId="7" borderId="2" xfId="0" applyFont="1" applyFill="1" applyBorder="1"/>
    <xf numFmtId="0" fontId="0" fillId="7" borderId="4" xfId="0" applyFill="1" applyBorder="1"/>
    <xf numFmtId="0" fontId="0" fillId="7" borderId="3" xfId="0" applyFill="1" applyBorder="1"/>
    <xf numFmtId="164" fontId="1" fillId="0" borderId="1" xfId="0" applyNumberFormat="1" applyFont="1" applyBorder="1" applyAlignment="1">
      <alignment horizontal="center"/>
    </xf>
    <xf numFmtId="164" fontId="1" fillId="0" borderId="1" xfId="0" applyNumberFormat="1" applyFont="1" applyBorder="1"/>
    <xf numFmtId="164" fontId="1" fillId="4" borderId="9" xfId="0" applyNumberFormat="1" applyFont="1" applyFill="1" applyBorder="1" applyAlignment="1">
      <alignment horizontal="center" wrapText="1"/>
    </xf>
    <xf numFmtId="0" fontId="0" fillId="4" borderId="10" xfId="0" applyFill="1" applyBorder="1" applyAlignment="1">
      <alignment horizontal="center"/>
    </xf>
    <xf numFmtId="164" fontId="5" fillId="4" borderId="9" xfId="0" applyNumberFormat="1"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protection locked="0"/>
    </xf>
    <xf numFmtId="164" fontId="5" fillId="0" borderId="1" xfId="0" applyNumberFormat="1" applyFont="1" applyBorder="1" applyAlignment="1">
      <alignment horizontal="center"/>
    </xf>
    <xf numFmtId="164" fontId="5" fillId="0" borderId="2" xfId="0" applyNumberFormat="1" applyFont="1" applyBorder="1" applyAlignment="1">
      <alignment horizontal="center"/>
    </xf>
    <xf numFmtId="164" fontId="5" fillId="0" borderId="3" xfId="0" applyNumberFormat="1" applyFont="1" applyBorder="1" applyAlignment="1">
      <alignment horizontal="center"/>
    </xf>
    <xf numFmtId="0" fontId="7" fillId="7" borderId="1" xfId="0" applyFont="1" applyFill="1" applyBorder="1" applyAlignment="1">
      <alignment horizontal="center"/>
    </xf>
    <xf numFmtId="0" fontId="0" fillId="7" borderId="1" xfId="0" applyFill="1" applyBorder="1" applyAlignment="1">
      <alignment horizontal="center"/>
    </xf>
    <xf numFmtId="0" fontId="1" fillId="0" borderId="1" xfId="0" applyFont="1" applyBorder="1" applyAlignment="1">
      <alignment horizontal="center" wrapText="1"/>
    </xf>
    <xf numFmtId="0" fontId="0" fillId="0" borderId="1" xfId="0" applyBorder="1" applyAlignment="1">
      <alignment horizontal="center" wrapText="1"/>
    </xf>
    <xf numFmtId="164" fontId="5" fillId="0" borderId="2" xfId="0" applyNumberFormat="1" applyFont="1" applyBorder="1"/>
    <xf numFmtId="164" fontId="5" fillId="0" borderId="3" xfId="0" applyNumberFormat="1" applyFont="1" applyBorder="1"/>
    <xf numFmtId="0" fontId="0" fillId="0" borderId="2" xfId="0" applyBorder="1"/>
    <xf numFmtId="0" fontId="1" fillId="7" borderId="2" xfId="0" applyFont="1" applyFill="1" applyBorder="1" applyAlignment="1">
      <alignment horizontal="left" indent="1"/>
    </xf>
    <xf numFmtId="0" fontId="0" fillId="7" borderId="4" xfId="0" applyFill="1" applyBorder="1" applyAlignment="1">
      <alignment horizontal="left" indent="1"/>
    </xf>
    <xf numFmtId="0" fontId="0" fillId="7" borderId="3" xfId="0" applyFill="1" applyBorder="1" applyAlignment="1">
      <alignment horizontal="left" indent="1"/>
    </xf>
    <xf numFmtId="0" fontId="4" fillId="7" borderId="2" xfId="0" quotePrefix="1" applyFont="1" applyFill="1" applyBorder="1" applyAlignment="1">
      <alignment horizontal="right" indent="1"/>
    </xf>
    <xf numFmtId="0" fontId="0" fillId="7" borderId="3" xfId="0" applyFill="1" applyBorder="1" applyAlignment="1">
      <alignment horizontal="right" indent="1"/>
    </xf>
    <xf numFmtId="0" fontId="3" fillId="0" borderId="2" xfId="0" applyFont="1" applyBorder="1"/>
    <xf numFmtId="0" fontId="0" fillId="0" borderId="4" xfId="0" applyBorder="1"/>
    <xf numFmtId="0" fontId="0" fillId="4" borderId="2" xfId="0" applyFill="1" applyBorder="1"/>
    <xf numFmtId="0" fontId="12" fillId="3" borderId="2" xfId="0" applyFont="1" applyFill="1" applyBorder="1" applyAlignment="1">
      <alignment horizontal="center"/>
    </xf>
    <xf numFmtId="0" fontId="12" fillId="3" borderId="4" xfId="0" applyFont="1" applyFill="1" applyBorder="1" applyAlignment="1">
      <alignment horizontal="center"/>
    </xf>
    <xf numFmtId="0" fontId="12" fillId="3" borderId="3" xfId="0" applyFont="1" applyFill="1" applyBorder="1" applyAlignment="1">
      <alignment horizontal="center"/>
    </xf>
    <xf numFmtId="0" fontId="2" fillId="0" borderId="2" xfId="0" applyFont="1" applyBorder="1" applyAlignment="1">
      <alignment horizontal="left"/>
    </xf>
    <xf numFmtId="0" fontId="3" fillId="0" borderId="5" xfId="0" applyFont="1" applyBorder="1" applyAlignment="1">
      <alignment vertical="center" wrapText="1"/>
    </xf>
    <xf numFmtId="0" fontId="0" fillId="0" borderId="11" xfId="0" applyBorder="1"/>
    <xf numFmtId="0" fontId="0" fillId="0" borderId="6" xfId="0" applyBorder="1"/>
    <xf numFmtId="0" fontId="0" fillId="0" borderId="12" xfId="0" applyBorder="1"/>
    <xf numFmtId="0" fontId="0" fillId="0" borderId="0" xfId="0"/>
    <xf numFmtId="0" fontId="0" fillId="0" borderId="13" xfId="0" applyBorder="1"/>
    <xf numFmtId="0" fontId="0" fillId="0" borderId="7" xfId="0" applyBorder="1"/>
    <xf numFmtId="0" fontId="0" fillId="0" borderId="14" xfId="0" applyBorder="1"/>
    <xf numFmtId="0" fontId="0" fillId="0" borderId="8" xfId="0" applyBorder="1"/>
    <xf numFmtId="0" fontId="0" fillId="2" borderId="2" xfId="0" applyFill="1" applyBorder="1"/>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0" fillId="0" borderId="11" xfId="0" applyBorder="1" applyAlignment="1">
      <alignment wrapText="1"/>
    </xf>
    <xf numFmtId="0" fontId="0" fillId="7" borderId="2" xfId="0" applyFill="1" applyBorder="1"/>
  </cellXfs>
  <cellStyles count="2">
    <cellStyle name="Hyperlink" xfId="1" builtinId="8"/>
    <cellStyle name="Normal" xfId="0" builtinId="0"/>
  </cellStyles>
  <dxfs count="0"/>
  <tableStyles count="0" defaultTableStyle="TableStyleMedium2" defaultPivotStyle="PivotStyleLight16"/>
  <colors>
    <mruColors>
      <color rgb="FF0033A0"/>
      <color rgb="FFB1C9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527539</xdr:colOff>
      <xdr:row>2</xdr:row>
      <xdr:rowOff>153866</xdr:rowOff>
    </xdr:from>
    <xdr:to>
      <xdr:col>9</xdr:col>
      <xdr:colOff>254624</xdr:colOff>
      <xdr:row>6</xdr:row>
      <xdr:rowOff>153865</xdr:rowOff>
    </xdr:to>
    <xdr:grpSp>
      <xdr:nvGrpSpPr>
        <xdr:cNvPr id="2" name="Group 1" descr="Martin-Gatton College of Agriculture, Food and Environment at the University of Kentucky, Cooperative Extension Service">
          <a:extLst>
            <a:ext uri="{FF2B5EF4-FFF2-40B4-BE49-F238E27FC236}">
              <a16:creationId xmlns:a16="http://schemas.microsoft.com/office/drawing/2014/main" id="{BEE4B581-3D41-4C14-A466-3850D37EA469}"/>
            </a:ext>
          </a:extLst>
        </xdr:cNvPr>
        <xdr:cNvGrpSpPr/>
      </xdr:nvGrpSpPr>
      <xdr:grpSpPr>
        <a:xfrm>
          <a:off x="1312985" y="599343"/>
          <a:ext cx="3894639" cy="679937"/>
          <a:chOff x="1409853" y="576515"/>
          <a:chExt cx="3874123" cy="644769"/>
        </a:xfrm>
      </xdr:grpSpPr>
      <xdr:pic>
        <xdr:nvPicPr>
          <xdr:cNvPr id="3" name="Picture 2">
            <a:extLst>
              <a:ext uri="{FF2B5EF4-FFF2-40B4-BE49-F238E27FC236}">
                <a16:creationId xmlns:a16="http://schemas.microsoft.com/office/drawing/2014/main" id="{74BDF093-2CA7-2B73-4EC6-71B773E9E78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406"/>
          <a:stretch/>
        </xdr:blipFill>
        <xdr:spPr>
          <a:xfrm>
            <a:off x="3650736" y="627700"/>
            <a:ext cx="1633240" cy="452443"/>
          </a:xfrm>
          <a:prstGeom prst="rect">
            <a:avLst/>
          </a:prstGeom>
        </xdr:spPr>
      </xdr:pic>
      <xdr:pic>
        <xdr:nvPicPr>
          <xdr:cNvPr id="5" name="Picture 4">
            <a:extLst>
              <a:ext uri="{FF2B5EF4-FFF2-40B4-BE49-F238E27FC236}">
                <a16:creationId xmlns:a16="http://schemas.microsoft.com/office/drawing/2014/main" id="{18C7971F-D1F5-0679-0F46-2B403CB7531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655" t="24976" r="11501" b="11713"/>
          <a:stretch/>
        </xdr:blipFill>
        <xdr:spPr>
          <a:xfrm>
            <a:off x="1409853" y="576515"/>
            <a:ext cx="2115552" cy="644769"/>
          </a:xfrm>
          <a:prstGeom prst="rect">
            <a:avLst/>
          </a:prstGeom>
        </xdr:spPr>
      </xdr:pic>
      <xdr:cxnSp macro="">
        <xdr:nvCxnSpPr>
          <xdr:cNvPr id="6" name="Straight Connector 5">
            <a:extLst>
              <a:ext uri="{FF2B5EF4-FFF2-40B4-BE49-F238E27FC236}">
                <a16:creationId xmlns:a16="http://schemas.microsoft.com/office/drawing/2014/main" id="{7A40C84F-B32D-43B9-8AAD-5EC918181EE4}"/>
              </a:ext>
            </a:extLst>
          </xdr:cNvPr>
          <xdr:cNvCxnSpPr/>
        </xdr:nvCxnSpPr>
        <xdr:spPr>
          <a:xfrm>
            <a:off x="3550685" y="611605"/>
            <a:ext cx="0" cy="524536"/>
          </a:xfrm>
          <a:prstGeom prst="line">
            <a:avLst/>
          </a:prstGeom>
          <a:ln w="12700">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Greg.Halich@uky.edu"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2"/>
  <sheetViews>
    <sheetView showGridLines="0" zoomScale="130" workbookViewId="0">
      <selection activeCell="B2" sqref="B2:K2"/>
    </sheetView>
  </sheetViews>
  <sheetFormatPr defaultRowHeight="13.2" x14ac:dyDescent="0.25"/>
  <cols>
    <col min="1" max="1" width="2.5546875" customWidth="1"/>
    <col min="4" max="4" width="7.44140625" customWidth="1"/>
    <col min="10" max="10" width="14.6640625" customWidth="1"/>
  </cols>
  <sheetData>
    <row r="1" spans="2:11" ht="13.2" customHeight="1" x14ac:dyDescent="0.25"/>
    <row r="2" spans="2:11" ht="21.75" customHeight="1" x14ac:dyDescent="0.3">
      <c r="B2" s="118" t="s">
        <v>240</v>
      </c>
      <c r="C2" s="119"/>
      <c r="D2" s="119"/>
      <c r="E2" s="119"/>
      <c r="F2" s="119"/>
      <c r="G2" s="119"/>
      <c r="H2" s="119"/>
      <c r="I2" s="119"/>
      <c r="J2" s="119"/>
      <c r="K2" s="119"/>
    </row>
    <row r="8" spans="2:11" x14ac:dyDescent="0.25">
      <c r="B8" s="120"/>
      <c r="C8" s="120"/>
      <c r="D8" s="120"/>
      <c r="E8" s="120"/>
      <c r="F8" s="120"/>
      <c r="G8" s="120"/>
      <c r="H8" s="120"/>
      <c r="I8" s="120"/>
      <c r="J8" s="120"/>
      <c r="K8" s="120"/>
    </row>
    <row r="9" spans="2:11" x14ac:dyDescent="0.25">
      <c r="C9" s="109"/>
      <c r="D9" s="121" t="s">
        <v>143</v>
      </c>
      <c r="E9" s="121"/>
      <c r="F9" s="121"/>
      <c r="G9" s="121"/>
      <c r="H9" s="121"/>
      <c r="I9" s="121"/>
      <c r="J9" s="109"/>
    </row>
    <row r="10" spans="2:11" x14ac:dyDescent="0.25">
      <c r="C10" s="109"/>
      <c r="D10" s="109"/>
      <c r="E10" s="109"/>
      <c r="F10" s="109" t="s">
        <v>144</v>
      </c>
      <c r="G10" s="110"/>
      <c r="H10" s="109"/>
      <c r="I10" s="109"/>
      <c r="J10" s="109"/>
    </row>
    <row r="11" spans="2:11" x14ac:dyDescent="0.25">
      <c r="C11" s="109"/>
      <c r="D11" s="109"/>
      <c r="E11" s="109"/>
      <c r="F11" s="109" t="s">
        <v>204</v>
      </c>
      <c r="G11" s="110"/>
      <c r="H11" s="109"/>
      <c r="I11" s="109"/>
      <c r="J11" s="109"/>
    </row>
    <row r="12" spans="2:11" x14ac:dyDescent="0.25">
      <c r="C12" s="109"/>
      <c r="D12" s="109"/>
      <c r="E12" s="109"/>
      <c r="F12" s="109" t="s">
        <v>239</v>
      </c>
      <c r="G12" s="110"/>
      <c r="H12" s="109"/>
      <c r="I12" s="109"/>
      <c r="J12" s="109"/>
    </row>
    <row r="13" spans="2:11" x14ac:dyDescent="0.25">
      <c r="C13" s="109"/>
      <c r="D13" s="110"/>
      <c r="E13" s="109"/>
      <c r="F13" s="110" t="s">
        <v>145</v>
      </c>
      <c r="G13" s="109"/>
      <c r="H13" s="110"/>
      <c r="I13" s="109"/>
      <c r="J13" s="109"/>
    </row>
    <row r="14" spans="2:11" x14ac:dyDescent="0.25">
      <c r="C14" s="109"/>
      <c r="D14" s="109"/>
      <c r="E14" s="109"/>
      <c r="F14" s="109" t="s">
        <v>146</v>
      </c>
      <c r="G14" s="109"/>
      <c r="H14" s="109"/>
      <c r="I14" s="109"/>
      <c r="J14" s="109"/>
    </row>
    <row r="16" spans="2:11" x14ac:dyDescent="0.25">
      <c r="C16" t="s">
        <v>148</v>
      </c>
    </row>
    <row r="17" spans="2:11" x14ac:dyDescent="0.25">
      <c r="C17" s="23" t="s">
        <v>236</v>
      </c>
    </row>
    <row r="18" spans="2:11" x14ac:dyDescent="0.25">
      <c r="C18" t="s">
        <v>149</v>
      </c>
    </row>
    <row r="21" spans="2:11" s="11" customFormat="1" x14ac:dyDescent="0.25">
      <c r="B21" s="122" t="s">
        <v>241</v>
      </c>
      <c r="C21" s="122"/>
      <c r="D21" s="122"/>
      <c r="E21" s="122"/>
      <c r="F21" s="122"/>
      <c r="G21" s="122"/>
      <c r="H21" s="122"/>
      <c r="I21" s="122"/>
      <c r="J21" s="122"/>
      <c r="K21" s="122"/>
    </row>
    <row r="22" spans="2:11" x14ac:dyDescent="0.25">
      <c r="C22" s="55"/>
    </row>
  </sheetData>
  <sheetProtection algorithmName="SHA-512" hashValue="kt/ko4SkeQBOzZOjaP9UE4MfY83ZDH2yc5TV4QOOi1rxN4dWcHbb5XBhc04HJgFYESfKS0LIsc7O4w0BxNWjLw==" saltValue="wMHFQUwR+y0GL93eeSxFhg==" spinCount="100000" sheet="1" formatCells="0" formatColumns="0" formatRows="0"/>
  <mergeCells count="4">
    <mergeCell ref="B2:K2"/>
    <mergeCell ref="B8:K8"/>
    <mergeCell ref="D9:I9"/>
    <mergeCell ref="B21:K21"/>
  </mergeCells>
  <phoneticPr fontId="6" type="noConversion"/>
  <hyperlinks>
    <hyperlink ref="F13" r:id="rId1" xr:uid="{00000000-0004-0000-0000-000000000000}"/>
  </hyperlinks>
  <pageMargins left="0.75" right="0.75" top="1" bottom="1" header="0.5" footer="0.5"/>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88"/>
  <sheetViews>
    <sheetView workbookViewId="0">
      <pane ySplit="16" topLeftCell="A62" activePane="bottomLeft" state="frozen"/>
      <selection activeCell="H25" sqref="H25"/>
      <selection pane="bottomLeft" activeCell="E72" sqref="E72"/>
    </sheetView>
  </sheetViews>
  <sheetFormatPr defaultRowHeight="13.2" x14ac:dyDescent="0.25"/>
  <cols>
    <col min="1" max="1" width="32.44140625" customWidth="1"/>
    <col min="4" max="4" width="9.6640625" customWidth="1"/>
    <col min="5" max="5" width="8.5546875" customWidth="1"/>
    <col min="6" max="6" width="7.88671875" customWidth="1"/>
    <col min="7" max="7" width="9" customWidth="1"/>
    <col min="8" max="8" width="7.5546875" customWidth="1"/>
    <col min="9" max="10" width="7.109375" customWidth="1"/>
    <col min="11" max="11" width="0" hidden="1" customWidth="1"/>
    <col min="12" max="12" width="8.44140625" hidden="1" customWidth="1"/>
    <col min="13" max="13" width="8.6640625" hidden="1" customWidth="1"/>
    <col min="14" max="14" width="4.6640625" customWidth="1"/>
    <col min="15" max="15" width="8.5546875" customWidth="1"/>
    <col min="16" max="16" width="8.109375" customWidth="1"/>
    <col min="17" max="17" width="8.6640625" customWidth="1"/>
    <col min="18" max="18" width="8.44140625" customWidth="1"/>
    <col min="19" max="19" width="8.5546875" customWidth="1"/>
    <col min="20" max="20" width="8.44140625" customWidth="1"/>
  </cols>
  <sheetData>
    <row r="1" spans="1:20" ht="17.399999999999999" x14ac:dyDescent="0.3">
      <c r="A1" s="166" t="s">
        <v>130</v>
      </c>
      <c r="B1" s="167"/>
      <c r="C1" s="167"/>
      <c r="D1" s="167"/>
      <c r="E1" s="167"/>
      <c r="F1" s="167"/>
      <c r="G1" s="167"/>
      <c r="H1" s="167"/>
      <c r="I1" s="167"/>
      <c r="J1" s="167"/>
      <c r="K1" s="167"/>
      <c r="L1" s="167"/>
      <c r="M1" s="167"/>
      <c r="N1" s="167"/>
      <c r="O1" s="167"/>
      <c r="P1" s="167"/>
      <c r="Q1" s="167"/>
      <c r="R1" s="167"/>
      <c r="S1" s="167"/>
      <c r="T1" s="168"/>
    </row>
    <row r="2" spans="1:20" x14ac:dyDescent="0.25">
      <c r="A2" s="4" t="s">
        <v>198</v>
      </c>
      <c r="B2" s="30">
        <v>4</v>
      </c>
      <c r="C2" s="4"/>
      <c r="D2" s="49"/>
      <c r="E2" s="169" t="s">
        <v>120</v>
      </c>
      <c r="F2" s="164"/>
      <c r="G2" s="164"/>
      <c r="H2" s="164"/>
      <c r="I2" s="164"/>
      <c r="J2" s="164"/>
      <c r="K2" s="164"/>
      <c r="L2" s="164"/>
      <c r="M2" s="164"/>
      <c r="N2" s="164"/>
      <c r="O2" s="164"/>
      <c r="P2" s="164"/>
      <c r="Q2" s="164"/>
      <c r="R2" s="164"/>
      <c r="S2" s="164"/>
      <c r="T2" s="125"/>
    </row>
    <row r="3" spans="1:20" x14ac:dyDescent="0.25">
      <c r="A3" s="4" t="s">
        <v>57</v>
      </c>
      <c r="B3" s="30">
        <f>'Machinery Calculations'!C6</f>
        <v>2.75</v>
      </c>
      <c r="C3" s="16"/>
      <c r="D3" s="42"/>
      <c r="E3" s="163" t="s">
        <v>108</v>
      </c>
      <c r="F3" s="164"/>
      <c r="G3" s="164"/>
      <c r="H3" s="164"/>
      <c r="I3" s="164"/>
      <c r="J3" s="164"/>
      <c r="K3" s="164"/>
      <c r="L3" s="164"/>
      <c r="M3" s="164"/>
      <c r="N3" s="164"/>
      <c r="O3" s="164"/>
      <c r="P3" s="164"/>
      <c r="Q3" s="164"/>
      <c r="R3" s="164"/>
      <c r="S3" s="164"/>
      <c r="T3" s="125"/>
    </row>
    <row r="4" spans="1:20" x14ac:dyDescent="0.25">
      <c r="A4" s="4" t="s">
        <v>77</v>
      </c>
      <c r="B4" s="30">
        <f>'Machinery Calculations'!C7</f>
        <v>25</v>
      </c>
      <c r="C4" s="16"/>
      <c r="D4" s="42"/>
      <c r="E4" s="163" t="s">
        <v>110</v>
      </c>
      <c r="F4" s="164"/>
      <c r="G4" s="164"/>
      <c r="H4" s="164"/>
      <c r="I4" s="164"/>
      <c r="J4" s="164"/>
      <c r="K4" s="164"/>
      <c r="L4" s="164"/>
      <c r="M4" s="164"/>
      <c r="N4" s="164"/>
      <c r="O4" s="164"/>
      <c r="P4" s="164"/>
      <c r="Q4" s="164"/>
      <c r="R4" s="164"/>
      <c r="S4" s="164"/>
      <c r="T4" s="125"/>
    </row>
    <row r="5" spans="1:20" x14ac:dyDescent="0.25">
      <c r="A5" s="4" t="s">
        <v>125</v>
      </c>
      <c r="B5" s="30" t="str">
        <f>'Machinery Calculations'!C8</f>
        <v>Y</v>
      </c>
      <c r="C5" s="16"/>
      <c r="D5" s="42"/>
      <c r="E5" s="163" t="s">
        <v>116</v>
      </c>
      <c r="F5" s="164"/>
      <c r="G5" s="164"/>
      <c r="H5" s="164"/>
      <c r="I5" s="164"/>
      <c r="J5" s="164"/>
      <c r="K5" s="164"/>
      <c r="L5" s="164"/>
      <c r="M5" s="164"/>
      <c r="N5" s="164"/>
      <c r="O5" s="164"/>
      <c r="P5" s="164"/>
      <c r="Q5" s="164"/>
      <c r="R5" s="164"/>
      <c r="S5" s="164"/>
      <c r="T5" s="125"/>
    </row>
    <row r="6" spans="1:20" x14ac:dyDescent="0.25">
      <c r="A6" s="4" t="s">
        <v>78</v>
      </c>
      <c r="B6" s="30">
        <f>'Machinery Calculations'!C9</f>
        <v>25</v>
      </c>
      <c r="C6" s="16"/>
      <c r="D6" s="42"/>
      <c r="E6" s="163" t="s">
        <v>109</v>
      </c>
      <c r="F6" s="164"/>
      <c r="G6" s="164"/>
      <c r="H6" s="164"/>
      <c r="I6" s="164"/>
      <c r="J6" s="164"/>
      <c r="K6" s="164"/>
      <c r="L6" s="164"/>
      <c r="M6" s="164"/>
      <c r="N6" s="164"/>
      <c r="O6" s="164"/>
      <c r="P6" s="164"/>
      <c r="Q6" s="164"/>
      <c r="R6" s="164"/>
      <c r="S6" s="164"/>
      <c r="T6" s="125"/>
    </row>
    <row r="7" spans="1:20" x14ac:dyDescent="0.25">
      <c r="A7" s="4" t="s">
        <v>79</v>
      </c>
      <c r="B7" s="52">
        <f>'Machinery Calculations'!C10</f>
        <v>0</v>
      </c>
      <c r="C7" s="16"/>
      <c r="D7" s="42"/>
      <c r="E7" s="163" t="s">
        <v>117</v>
      </c>
      <c r="F7" s="164"/>
      <c r="G7" s="164"/>
      <c r="H7" s="164"/>
      <c r="I7" s="164"/>
      <c r="J7" s="164"/>
      <c r="K7" s="164"/>
      <c r="L7" s="164"/>
      <c r="M7" s="164"/>
      <c r="N7" s="164"/>
      <c r="O7" s="164"/>
      <c r="P7" s="164"/>
      <c r="Q7" s="164"/>
      <c r="R7" s="164"/>
      <c r="S7" s="164"/>
      <c r="T7" s="125"/>
    </row>
    <row r="8" spans="1:20" x14ac:dyDescent="0.25">
      <c r="A8" s="4" t="s">
        <v>113</v>
      </c>
      <c r="B8" s="53">
        <f>'Machinery Calculations'!C11</f>
        <v>75</v>
      </c>
      <c r="C8" s="16"/>
      <c r="D8" s="42"/>
      <c r="E8" s="163" t="s">
        <v>129</v>
      </c>
      <c r="F8" s="164"/>
      <c r="G8" s="164"/>
      <c r="H8" s="164"/>
      <c r="I8" s="164"/>
      <c r="J8" s="164"/>
      <c r="K8" s="164"/>
      <c r="L8" s="164"/>
      <c r="M8" s="164"/>
      <c r="N8" s="164"/>
      <c r="O8" s="164"/>
      <c r="P8" s="164"/>
      <c r="Q8" s="164"/>
      <c r="R8" s="164"/>
      <c r="S8" s="164"/>
      <c r="T8" s="125"/>
    </row>
    <row r="9" spans="1:20" hidden="1" x14ac:dyDescent="0.25">
      <c r="A9" s="165" t="s">
        <v>114</v>
      </c>
      <c r="B9" s="164"/>
      <c r="C9" s="164"/>
      <c r="D9" s="125"/>
      <c r="E9" s="163" t="s">
        <v>118</v>
      </c>
      <c r="F9" s="164"/>
      <c r="G9" s="164"/>
      <c r="H9" s="164"/>
      <c r="I9" s="164"/>
      <c r="J9" s="164"/>
      <c r="K9" s="164"/>
      <c r="L9" s="164"/>
      <c r="M9" s="164"/>
      <c r="N9" s="164"/>
      <c r="O9" s="164"/>
      <c r="P9" s="164"/>
      <c r="Q9" s="164"/>
      <c r="R9" s="164"/>
      <c r="S9" s="164"/>
      <c r="T9" s="125"/>
    </row>
    <row r="10" spans="1:20" hidden="1" x14ac:dyDescent="0.25">
      <c r="A10" s="165" t="s">
        <v>115</v>
      </c>
      <c r="B10" s="164"/>
      <c r="C10" s="164"/>
      <c r="D10" s="125"/>
      <c r="E10" s="163" t="s">
        <v>131</v>
      </c>
      <c r="F10" s="164"/>
      <c r="G10" s="164"/>
      <c r="H10" s="164"/>
      <c r="I10" s="164"/>
      <c r="J10" s="164"/>
      <c r="K10" s="164"/>
      <c r="L10" s="164"/>
      <c r="M10" s="164"/>
      <c r="N10" s="164"/>
      <c r="O10" s="164"/>
      <c r="P10" s="164"/>
      <c r="Q10" s="164"/>
      <c r="R10" s="164"/>
      <c r="S10" s="164"/>
      <c r="T10" s="125"/>
    </row>
    <row r="11" spans="1:20" hidden="1" x14ac:dyDescent="0.25">
      <c r="A11" s="165" t="s">
        <v>128</v>
      </c>
      <c r="B11" s="164"/>
      <c r="C11" s="164"/>
      <c r="D11" s="125"/>
      <c r="E11" s="163" t="s">
        <v>132</v>
      </c>
      <c r="F11" s="164"/>
      <c r="G11" s="164"/>
      <c r="H11" s="164"/>
      <c r="I11" s="164"/>
      <c r="J11" s="164"/>
      <c r="K11" s="164"/>
      <c r="L11" s="164"/>
      <c r="M11" s="164"/>
      <c r="N11" s="164"/>
      <c r="O11" s="164"/>
      <c r="P11" s="164"/>
      <c r="Q11" s="164"/>
      <c r="R11" s="164"/>
      <c r="S11" s="164"/>
      <c r="T11" s="125"/>
    </row>
    <row r="12" spans="1:20" hidden="1" x14ac:dyDescent="0.25">
      <c r="A12" s="4" t="s">
        <v>92</v>
      </c>
      <c r="B12" s="17">
        <v>0.33</v>
      </c>
      <c r="C12" s="17"/>
      <c r="D12" s="43"/>
      <c r="E12" s="157"/>
      <c r="F12" s="164"/>
      <c r="G12" s="164"/>
      <c r="H12" s="164"/>
      <c r="I12" s="164"/>
      <c r="J12" s="164"/>
      <c r="K12" s="164"/>
      <c r="L12" s="164"/>
      <c r="M12" s="164"/>
      <c r="N12" s="164"/>
      <c r="O12" s="164"/>
      <c r="P12" s="164"/>
      <c r="Q12" s="164"/>
      <c r="R12" s="164"/>
      <c r="S12" s="164"/>
      <c r="T12" s="125"/>
    </row>
    <row r="13" spans="1:20" ht="13.2" customHeight="1" x14ac:dyDescent="0.25">
      <c r="A13" s="4"/>
      <c r="B13" s="50"/>
      <c r="C13" s="50"/>
      <c r="D13" s="50"/>
      <c r="E13" s="170" t="s">
        <v>111</v>
      </c>
      <c r="F13" s="171"/>
      <c r="G13" s="171"/>
      <c r="H13" s="171"/>
      <c r="I13" s="171"/>
      <c r="J13" s="171"/>
      <c r="K13" s="171"/>
      <c r="L13" s="171"/>
      <c r="M13" s="171"/>
      <c r="N13" s="172"/>
      <c r="O13" s="180" t="s">
        <v>106</v>
      </c>
      <c r="P13" s="181"/>
      <c r="Q13" s="181"/>
      <c r="R13" s="181"/>
      <c r="S13" s="181"/>
      <c r="T13" s="182"/>
    </row>
    <row r="14" spans="1:20" x14ac:dyDescent="0.25">
      <c r="A14" s="4" t="s">
        <v>176</v>
      </c>
      <c r="B14" s="65">
        <v>0.75</v>
      </c>
      <c r="C14" s="50"/>
      <c r="D14" s="50"/>
      <c r="E14" s="173"/>
      <c r="F14" s="174"/>
      <c r="G14" s="174"/>
      <c r="H14" s="174"/>
      <c r="I14" s="174"/>
      <c r="J14" s="174"/>
      <c r="K14" s="174"/>
      <c r="L14" s="174"/>
      <c r="M14" s="174"/>
      <c r="N14" s="175"/>
      <c r="O14" s="54" t="str">
        <f>'Machinery Calculations'!$C4</f>
        <v>Increase</v>
      </c>
      <c r="P14" s="54" t="str">
        <f>'Machinery Calculations'!$C4</f>
        <v>Increase</v>
      </c>
      <c r="Q14" s="54" t="str">
        <f>'Machinery Calculations'!$C4</f>
        <v>Increase</v>
      </c>
      <c r="R14" s="54" t="str">
        <f>'Machinery Calculations'!$C4</f>
        <v>Increase</v>
      </c>
      <c r="S14" s="54" t="str">
        <f>'Machinery Calculations'!$C4</f>
        <v>Increase</v>
      </c>
      <c r="T14" s="54" t="str">
        <f>'Machinery Calculations'!$C4</f>
        <v>Increase</v>
      </c>
    </row>
    <row r="15" spans="1:20" x14ac:dyDescent="0.25">
      <c r="A15" s="4"/>
      <c r="B15" s="50"/>
      <c r="C15" s="50"/>
      <c r="D15" s="50"/>
      <c r="E15" s="176"/>
      <c r="F15" s="177"/>
      <c r="G15" s="177"/>
      <c r="H15" s="177"/>
      <c r="I15" s="177"/>
      <c r="J15" s="177"/>
      <c r="K15" s="177"/>
      <c r="L15" s="177"/>
      <c r="M15" s="177"/>
      <c r="N15" s="178"/>
      <c r="O15" s="52">
        <f>'Machinery Calculations'!$C5</f>
        <v>0.15</v>
      </c>
      <c r="P15" s="52">
        <f>'Machinery Calculations'!$C5</f>
        <v>0.15</v>
      </c>
      <c r="Q15" s="52">
        <f>'Machinery Calculations'!$C5</f>
        <v>0.15</v>
      </c>
      <c r="R15" s="52">
        <f>'Machinery Calculations'!$C5</f>
        <v>0.15</v>
      </c>
      <c r="S15" s="52">
        <f>'Machinery Calculations'!$C5</f>
        <v>0.15</v>
      </c>
      <c r="T15" s="52">
        <f>'Machinery Calculations'!$C5</f>
        <v>0.15</v>
      </c>
    </row>
    <row r="16" spans="1:20" s="1" customFormat="1" ht="43.2" customHeight="1" x14ac:dyDescent="0.25">
      <c r="A16" s="3" t="s">
        <v>0</v>
      </c>
      <c r="B16" s="33" t="s">
        <v>1</v>
      </c>
      <c r="C16" s="33" t="s">
        <v>119</v>
      </c>
      <c r="D16" s="33" t="s">
        <v>127</v>
      </c>
      <c r="E16" s="64" t="s">
        <v>237</v>
      </c>
      <c r="F16" s="3" t="s">
        <v>10</v>
      </c>
      <c r="G16" s="3" t="s">
        <v>2</v>
      </c>
      <c r="H16" s="3" t="s">
        <v>6</v>
      </c>
      <c r="I16" s="3" t="s">
        <v>3</v>
      </c>
      <c r="J16" s="3" t="s">
        <v>4</v>
      </c>
      <c r="K16" s="3" t="s">
        <v>7</v>
      </c>
      <c r="L16" s="3" t="s">
        <v>8</v>
      </c>
      <c r="M16" s="3" t="s">
        <v>9</v>
      </c>
      <c r="N16" s="3"/>
      <c r="O16" s="3" t="s">
        <v>96</v>
      </c>
      <c r="P16" s="3" t="s">
        <v>98</v>
      </c>
      <c r="Q16" s="3" t="s">
        <v>80</v>
      </c>
      <c r="R16" s="3" t="s">
        <v>8</v>
      </c>
      <c r="S16" s="3" t="s">
        <v>99</v>
      </c>
      <c r="T16" s="3" t="s">
        <v>58</v>
      </c>
    </row>
    <row r="17" spans="1:20" x14ac:dyDescent="0.25">
      <c r="A17" s="4"/>
      <c r="B17" s="34"/>
      <c r="C17" s="32"/>
      <c r="D17" s="44"/>
      <c r="E17" s="4"/>
      <c r="F17" s="4"/>
      <c r="G17" s="4"/>
      <c r="H17" s="4"/>
      <c r="I17" s="4"/>
      <c r="J17" s="4"/>
      <c r="K17" s="4"/>
      <c r="L17" s="4"/>
      <c r="M17" s="4"/>
      <c r="N17" s="4"/>
      <c r="O17" s="4"/>
      <c r="P17" s="4"/>
      <c r="Q17" s="4"/>
      <c r="R17" s="4"/>
      <c r="S17" s="4"/>
      <c r="T17" s="4"/>
    </row>
    <row r="18" spans="1:20" x14ac:dyDescent="0.25">
      <c r="A18" s="12" t="s">
        <v>11</v>
      </c>
      <c r="B18" s="35"/>
      <c r="C18" s="36"/>
      <c r="D18" s="45"/>
      <c r="E18" s="9"/>
      <c r="F18" s="9"/>
      <c r="G18" s="4"/>
      <c r="H18" s="4"/>
      <c r="I18" s="4"/>
      <c r="J18" s="4"/>
      <c r="K18" s="4"/>
      <c r="L18" s="4"/>
      <c r="M18" s="4"/>
      <c r="N18" s="4"/>
      <c r="O18" s="4"/>
      <c r="P18" s="4"/>
      <c r="Q18" s="4"/>
      <c r="R18" s="4"/>
      <c r="S18" s="4"/>
      <c r="T18" s="4"/>
    </row>
    <row r="19" spans="1:20" x14ac:dyDescent="0.25">
      <c r="A19" s="4" t="s">
        <v>12</v>
      </c>
      <c r="B19" s="37"/>
      <c r="C19" s="38"/>
      <c r="D19" s="46"/>
      <c r="E19" s="9"/>
      <c r="F19" s="9">
        <f>IF(D19&gt;0,D19,E19-(G19*B$2*1.05)+H19-I19*12.5+J19)</f>
        <v>0.42800194654882251</v>
      </c>
      <c r="G19" s="13">
        <v>2.06175</v>
      </c>
      <c r="H19" s="5">
        <f t="shared" ref="H19:H28" si="0">G19*B$3*1.05</f>
        <v>5.9533031250000006</v>
      </c>
      <c r="I19" s="14">
        <v>0.25072390572390574</v>
      </c>
      <c r="J19" s="5">
        <f>I19*B$4*(1-B$7)+I19*B$6*(B$7)</f>
        <v>6.2680976430976436</v>
      </c>
      <c r="K19" s="5">
        <f t="shared" ref="K19:K28" si="1">F19-H19-J19</f>
        <v>-11.793398821548822</v>
      </c>
      <c r="L19" s="5">
        <f t="shared" ref="L19:L28" si="2">K19*B$12</f>
        <v>-3.8918216111111112</v>
      </c>
      <c r="M19" s="5">
        <f t="shared" ref="M19:M28" si="3">K19-L19</f>
        <v>-7.9015772104377104</v>
      </c>
      <c r="N19" s="4"/>
      <c r="O19" s="5">
        <f t="shared" ref="O19:O28" si="4">IF(O$14="Increase",IF(C19="y",0,IF($B19&gt;0,H19*$B19*(1+O$15),0)),IF(C19="y",0,IF($B19&gt;0,H19*$B19*(1-O$15),0)))</f>
        <v>0</v>
      </c>
      <c r="P19" s="5">
        <f t="shared" ref="P19:P28" si="5">IF(P$14="Increase",IF(C19="y",0,IF($B19&gt;0,(I19*B$4*(1-B$7))*$B19*(1+P$15),0)),IF(C19="y",0,IF($B19&gt;0,(I19*B$4*(1-B$7))*$B19*(1-P$15),0)))</f>
        <v>0</v>
      </c>
      <c r="Q19" s="5">
        <f t="shared" ref="Q19:Q28" si="6">IF(Q$14="Increase",IF(C19="y",0,IF($B19&gt;0,(I19*B$6*(B$7))*$B19*(1+Q$15),0)),IF(C19="y",0,IF($B19&gt;0,(I19*B$6*(B$7))*$B19*(1-Q$15),0)))</f>
        <v>0</v>
      </c>
      <c r="R19" s="5">
        <f t="shared" ref="R19:R28" si="7">IF(R$14="Increase",IF(C19="y",0,IF($B19&gt;0,L19*$B19*(1+R$15),0)),IF(C19="y",0,IF($B19&gt;0,L19*$B19*(1-R$15),0)))</f>
        <v>0</v>
      </c>
      <c r="S19" s="5">
        <f t="shared" ref="S19:S28" si="8">IF(S$14="Increase",IF(C19="y",0,IF($B19&gt;0,M19*$B19*(1+S$15),0)),IF(C19="y",0,IF($B19&gt;0,M19*$B19*(1-S$15),0)))</f>
        <v>0</v>
      </c>
      <c r="T19" s="5">
        <f t="shared" ref="T19:T28" si="9">IF(T$14="Increase",IF(C19="y",F19*B19*(1+T$15),0),IF(C19="y",F19*B19*(1-T$15),0))</f>
        <v>0</v>
      </c>
    </row>
    <row r="20" spans="1:20" x14ac:dyDescent="0.25">
      <c r="A20" s="4" t="s">
        <v>13</v>
      </c>
      <c r="B20" s="37"/>
      <c r="C20" s="38"/>
      <c r="D20" s="46"/>
      <c r="E20" s="9"/>
      <c r="F20" s="9">
        <f t="shared" ref="F20:F28" si="10">IF(D20&gt;0,D20,E20-(G20*B$2*1.05)+H20-I20*12.5+J20)</f>
        <v>-0.55412878787878883</v>
      </c>
      <c r="G20" s="13">
        <v>1.06</v>
      </c>
      <c r="H20" s="5">
        <f t="shared" si="0"/>
        <v>3.0607500000000001</v>
      </c>
      <c r="I20" s="14">
        <v>6.6969696969696971E-2</v>
      </c>
      <c r="J20" s="5">
        <f>I20*B$4*(1-B$7)+I20*B$6*(B$7)</f>
        <v>1.6742424242424243</v>
      </c>
      <c r="K20" s="5">
        <f t="shared" si="1"/>
        <v>-5.2891212121212128</v>
      </c>
      <c r="L20" s="5">
        <f t="shared" si="2"/>
        <v>-1.7454100000000004</v>
      </c>
      <c r="M20" s="5">
        <f t="shared" si="3"/>
        <v>-3.5437112121212122</v>
      </c>
      <c r="N20" s="4"/>
      <c r="O20" s="5">
        <f t="shared" si="4"/>
        <v>0</v>
      </c>
      <c r="P20" s="5">
        <f t="shared" si="5"/>
        <v>0</v>
      </c>
      <c r="Q20" s="5">
        <f t="shared" si="6"/>
        <v>0</v>
      </c>
      <c r="R20" s="5">
        <f t="shared" si="7"/>
        <v>0</v>
      </c>
      <c r="S20" s="5">
        <f t="shared" si="8"/>
        <v>0</v>
      </c>
      <c r="T20" s="5">
        <f t="shared" si="9"/>
        <v>0</v>
      </c>
    </row>
    <row r="21" spans="1:20" x14ac:dyDescent="0.25">
      <c r="A21" s="4" t="s">
        <v>14</v>
      </c>
      <c r="B21" s="37"/>
      <c r="C21" s="38"/>
      <c r="D21" s="46"/>
      <c r="E21" s="9"/>
      <c r="F21" s="9">
        <f t="shared" si="10"/>
        <v>0.46511489898989877</v>
      </c>
      <c r="G21" s="13">
        <v>0.90200000000000002</v>
      </c>
      <c r="H21" s="5">
        <f t="shared" si="0"/>
        <v>2.6045250000000002</v>
      </c>
      <c r="I21" s="14">
        <v>0.13191919191919191</v>
      </c>
      <c r="J21" s="5">
        <f>I21*B$4*(1-B$7)+I21*B$6*(B$7)</f>
        <v>3.2979797979797976</v>
      </c>
      <c r="K21" s="5">
        <f t="shared" si="1"/>
        <v>-5.437389898989899</v>
      </c>
      <c r="L21" s="5">
        <f t="shared" si="2"/>
        <v>-1.7943386666666667</v>
      </c>
      <c r="M21" s="5">
        <f t="shared" si="3"/>
        <v>-3.6430512323232325</v>
      </c>
      <c r="N21" s="4"/>
      <c r="O21" s="5">
        <f t="shared" si="4"/>
        <v>0</v>
      </c>
      <c r="P21" s="5">
        <f t="shared" si="5"/>
        <v>0</v>
      </c>
      <c r="Q21" s="5">
        <f t="shared" si="6"/>
        <v>0</v>
      </c>
      <c r="R21" s="5">
        <f t="shared" si="7"/>
        <v>0</v>
      </c>
      <c r="S21" s="5">
        <f t="shared" si="8"/>
        <v>0</v>
      </c>
      <c r="T21" s="5">
        <f t="shared" si="9"/>
        <v>0</v>
      </c>
    </row>
    <row r="22" spans="1:20" x14ac:dyDescent="0.25">
      <c r="A22" s="4" t="s">
        <v>15</v>
      </c>
      <c r="B22" s="37"/>
      <c r="C22" s="38"/>
      <c r="D22" s="46"/>
      <c r="E22" s="9"/>
      <c r="F22" s="9">
        <f t="shared" si="10"/>
        <v>-0.69511574074074201</v>
      </c>
      <c r="G22" s="13">
        <v>1.87</v>
      </c>
      <c r="H22" s="5">
        <f t="shared" si="0"/>
        <v>5.3996250000000003</v>
      </c>
      <c r="I22" s="14">
        <v>0.14074074074074072</v>
      </c>
      <c r="J22" s="5">
        <f>I22*B$4*(1-B$7)+I22*B$6*(B$7)</f>
        <v>3.5185185185185182</v>
      </c>
      <c r="K22" s="5">
        <f t="shared" si="1"/>
        <v>-9.6132592592592605</v>
      </c>
      <c r="L22" s="5">
        <f t="shared" si="2"/>
        <v>-3.1723755555555559</v>
      </c>
      <c r="M22" s="5">
        <f t="shared" si="3"/>
        <v>-6.4408837037037046</v>
      </c>
      <c r="N22" s="4"/>
      <c r="O22" s="5">
        <f t="shared" si="4"/>
        <v>0</v>
      </c>
      <c r="P22" s="5">
        <f t="shared" si="5"/>
        <v>0</v>
      </c>
      <c r="Q22" s="5">
        <f t="shared" si="6"/>
        <v>0</v>
      </c>
      <c r="R22" s="5">
        <f t="shared" si="7"/>
        <v>0</v>
      </c>
      <c r="S22" s="5">
        <f t="shared" si="8"/>
        <v>0</v>
      </c>
      <c r="T22" s="5">
        <f t="shared" si="9"/>
        <v>0</v>
      </c>
    </row>
    <row r="23" spans="1:20" x14ac:dyDescent="0.25">
      <c r="A23" s="7"/>
      <c r="B23" s="37"/>
      <c r="C23" s="38"/>
      <c r="D23" s="46"/>
      <c r="E23" s="9"/>
      <c r="F23" s="9"/>
      <c r="G23" s="13"/>
      <c r="H23" s="5"/>
      <c r="I23" s="14"/>
      <c r="J23" s="5"/>
      <c r="K23" s="5"/>
      <c r="L23" s="5"/>
      <c r="M23" s="5"/>
      <c r="N23" s="4"/>
      <c r="O23" s="5"/>
      <c r="P23" s="5"/>
      <c r="Q23" s="5"/>
      <c r="R23" s="5"/>
      <c r="S23" s="5"/>
      <c r="T23" s="5"/>
    </row>
    <row r="24" spans="1:20" x14ac:dyDescent="0.25">
      <c r="A24" s="4" t="s">
        <v>16</v>
      </c>
      <c r="B24" s="37"/>
      <c r="C24" s="38"/>
      <c r="D24" s="46"/>
      <c r="E24" s="9"/>
      <c r="F24" s="9">
        <f t="shared" si="10"/>
        <v>-0.24008585858585874</v>
      </c>
      <c r="G24" s="13">
        <v>0.62400000000000011</v>
      </c>
      <c r="H24" s="5">
        <f t="shared" si="0"/>
        <v>1.8018000000000003</v>
      </c>
      <c r="I24" s="14">
        <v>4.631313131313132E-2</v>
      </c>
      <c r="J24" s="5">
        <f>I24*B$4*(1-B$7)+I24*B$6*(B$7)</f>
        <v>1.1578282828282831</v>
      </c>
      <c r="K24" s="5">
        <f t="shared" si="1"/>
        <v>-3.1997141414141419</v>
      </c>
      <c r="L24" s="5">
        <f t="shared" si="2"/>
        <v>-1.0559056666666669</v>
      </c>
      <c r="M24" s="5">
        <f t="shared" si="3"/>
        <v>-2.143808474747475</v>
      </c>
      <c r="N24" s="4"/>
      <c r="O24" s="5">
        <f t="shared" si="4"/>
        <v>0</v>
      </c>
      <c r="P24" s="5">
        <f t="shared" si="5"/>
        <v>0</v>
      </c>
      <c r="Q24" s="5">
        <f t="shared" si="6"/>
        <v>0</v>
      </c>
      <c r="R24" s="5">
        <f t="shared" si="7"/>
        <v>0</v>
      </c>
      <c r="S24" s="5">
        <f t="shared" si="8"/>
        <v>0</v>
      </c>
      <c r="T24" s="5">
        <f t="shared" si="9"/>
        <v>0</v>
      </c>
    </row>
    <row r="25" spans="1:20" x14ac:dyDescent="0.25">
      <c r="A25" s="4" t="s">
        <v>17</v>
      </c>
      <c r="B25" s="37"/>
      <c r="C25" s="38"/>
      <c r="D25" s="46"/>
      <c r="E25" s="9"/>
      <c r="F25" s="9">
        <f t="shared" si="10"/>
        <v>0.7442727272727272</v>
      </c>
      <c r="G25" s="13">
        <v>0.36799999999999999</v>
      </c>
      <c r="H25" s="5">
        <f t="shared" si="0"/>
        <v>1.0626</v>
      </c>
      <c r="I25" s="14">
        <v>9.818181818181819E-2</v>
      </c>
      <c r="J25" s="5">
        <f>I25*B$4*(1-B$7)+I25*B$6*(B$7)</f>
        <v>2.4545454545454546</v>
      </c>
      <c r="K25" s="5">
        <f t="shared" si="1"/>
        <v>-2.7728727272727274</v>
      </c>
      <c r="L25" s="5">
        <f t="shared" si="2"/>
        <v>-0.91504800000000008</v>
      </c>
      <c r="M25" s="5">
        <f t="shared" si="3"/>
        <v>-1.8578247272727273</v>
      </c>
      <c r="N25" s="4"/>
      <c r="O25" s="5">
        <f t="shared" si="4"/>
        <v>0</v>
      </c>
      <c r="P25" s="5">
        <f t="shared" si="5"/>
        <v>0</v>
      </c>
      <c r="Q25" s="5">
        <f t="shared" si="6"/>
        <v>0</v>
      </c>
      <c r="R25" s="5">
        <f t="shared" si="7"/>
        <v>0</v>
      </c>
      <c r="S25" s="5">
        <f t="shared" si="8"/>
        <v>0</v>
      </c>
      <c r="T25" s="5">
        <f t="shared" si="9"/>
        <v>0</v>
      </c>
    </row>
    <row r="26" spans="1:20" x14ac:dyDescent="0.25">
      <c r="A26" s="4" t="s">
        <v>18</v>
      </c>
      <c r="B26" s="37"/>
      <c r="C26" s="38"/>
      <c r="D26" s="46"/>
      <c r="E26" s="9"/>
      <c r="F26" s="9">
        <f t="shared" si="10"/>
        <v>-0.48448579545454518</v>
      </c>
      <c r="G26" s="13">
        <v>2.3344999999999998</v>
      </c>
      <c r="H26" s="5">
        <f t="shared" si="0"/>
        <v>6.7408687499999997</v>
      </c>
      <c r="I26" s="14">
        <v>0.20636363636363636</v>
      </c>
      <c r="J26" s="5">
        <f>I26*B$4*(1-B$7)+I26*B$6*(B$7)</f>
        <v>5.1590909090909092</v>
      </c>
      <c r="K26" s="5">
        <f t="shared" si="1"/>
        <v>-12.384445454545453</v>
      </c>
      <c r="L26" s="5">
        <f t="shared" si="2"/>
        <v>-4.0868669999999998</v>
      </c>
      <c r="M26" s="5">
        <f t="shared" si="3"/>
        <v>-8.2975784545454534</v>
      </c>
      <c r="N26" s="4"/>
      <c r="O26" s="5">
        <f t="shared" si="4"/>
        <v>0</v>
      </c>
      <c r="P26" s="5">
        <f t="shared" si="5"/>
        <v>0</v>
      </c>
      <c r="Q26" s="5">
        <f t="shared" si="6"/>
        <v>0</v>
      </c>
      <c r="R26" s="5">
        <f t="shared" si="7"/>
        <v>0</v>
      </c>
      <c r="S26" s="5">
        <f t="shared" si="8"/>
        <v>0</v>
      </c>
      <c r="T26" s="5">
        <f t="shared" si="9"/>
        <v>0</v>
      </c>
    </row>
    <row r="27" spans="1:20" x14ac:dyDescent="0.25">
      <c r="A27" s="4" t="s">
        <v>19</v>
      </c>
      <c r="B27" s="37"/>
      <c r="C27" s="38"/>
      <c r="D27" s="46"/>
      <c r="E27" s="9"/>
      <c r="F27" s="9">
        <f t="shared" si="10"/>
        <v>-0.90915135732323105</v>
      </c>
      <c r="G27" s="13">
        <v>1.9442499999999998</v>
      </c>
      <c r="H27" s="5">
        <f t="shared" si="0"/>
        <v>5.6140218749999997</v>
      </c>
      <c r="I27" s="14">
        <v>0.13141414141414143</v>
      </c>
      <c r="J27" s="5">
        <f>I27*B$4*(1-B$7)+I27*B$6*(B$7)</f>
        <v>3.2853535353535355</v>
      </c>
      <c r="K27" s="5">
        <f t="shared" si="1"/>
        <v>-9.8085267676767671</v>
      </c>
      <c r="L27" s="5">
        <f t="shared" si="2"/>
        <v>-3.2368138333333332</v>
      </c>
      <c r="M27" s="5">
        <f t="shared" si="3"/>
        <v>-6.5717129343434344</v>
      </c>
      <c r="N27" s="4"/>
      <c r="O27" s="5">
        <f t="shared" si="4"/>
        <v>0</v>
      </c>
      <c r="P27" s="5">
        <f t="shared" si="5"/>
        <v>0</v>
      </c>
      <c r="Q27" s="5">
        <f t="shared" si="6"/>
        <v>0</v>
      </c>
      <c r="R27" s="5">
        <f t="shared" si="7"/>
        <v>0</v>
      </c>
      <c r="S27" s="5">
        <f t="shared" si="8"/>
        <v>0</v>
      </c>
      <c r="T27" s="5">
        <f t="shared" si="9"/>
        <v>0</v>
      </c>
    </row>
    <row r="28" spans="1:20" x14ac:dyDescent="0.25">
      <c r="A28" s="4" t="s">
        <v>20</v>
      </c>
      <c r="B28" s="37"/>
      <c r="C28" s="38"/>
      <c r="D28" s="46"/>
      <c r="E28" s="9"/>
      <c r="F28" s="9">
        <f t="shared" si="10"/>
        <v>0.65578977272727235</v>
      </c>
      <c r="G28" s="13">
        <v>0.85099999999999998</v>
      </c>
      <c r="H28" s="5">
        <f t="shared" si="0"/>
        <v>2.4572625000000001</v>
      </c>
      <c r="I28" s="14">
        <v>0.14181818181818182</v>
      </c>
      <c r="J28" s="5">
        <f>I28*B$4*(1-B$7)+I28*B$6*(B$7)</f>
        <v>3.5454545454545454</v>
      </c>
      <c r="K28" s="5">
        <f t="shared" si="1"/>
        <v>-5.3469272727272728</v>
      </c>
      <c r="L28" s="5">
        <f t="shared" si="2"/>
        <v>-1.764486</v>
      </c>
      <c r="M28" s="5">
        <f t="shared" si="3"/>
        <v>-3.582441272727273</v>
      </c>
      <c r="N28" s="4"/>
      <c r="O28" s="5">
        <f t="shared" si="4"/>
        <v>0</v>
      </c>
      <c r="P28" s="5">
        <f t="shared" si="5"/>
        <v>0</v>
      </c>
      <c r="Q28" s="5">
        <f t="shared" si="6"/>
        <v>0</v>
      </c>
      <c r="R28" s="5">
        <f t="shared" si="7"/>
        <v>0</v>
      </c>
      <c r="S28" s="5">
        <f t="shared" si="8"/>
        <v>0</v>
      </c>
      <c r="T28" s="5">
        <f t="shared" si="9"/>
        <v>0</v>
      </c>
    </row>
    <row r="29" spans="1:20" x14ac:dyDescent="0.25">
      <c r="A29" s="4"/>
      <c r="B29" s="37"/>
      <c r="C29" s="38"/>
      <c r="D29" s="46"/>
      <c r="E29" s="9"/>
      <c r="F29" s="9"/>
      <c r="G29" s="4"/>
      <c r="H29" s="4"/>
      <c r="I29" s="4"/>
      <c r="J29" s="4"/>
      <c r="K29" s="4"/>
      <c r="L29" s="4"/>
      <c r="M29" s="4"/>
      <c r="N29" s="4"/>
      <c r="O29" s="4"/>
      <c r="P29" s="4"/>
      <c r="Q29" s="4"/>
      <c r="R29" s="4"/>
      <c r="S29" s="4"/>
      <c r="T29" s="4"/>
    </row>
    <row r="30" spans="1:20" x14ac:dyDescent="0.25">
      <c r="A30" s="12" t="s">
        <v>21</v>
      </c>
      <c r="B30" s="37"/>
      <c r="C30" s="38"/>
      <c r="D30" s="46"/>
      <c r="E30" s="9"/>
      <c r="F30" s="9"/>
      <c r="G30" s="4"/>
      <c r="H30" s="4"/>
      <c r="I30" s="4"/>
      <c r="J30" s="4"/>
      <c r="K30" s="4"/>
      <c r="L30" s="4"/>
      <c r="M30" s="4"/>
      <c r="N30" s="4"/>
      <c r="O30" s="4"/>
      <c r="P30" s="4"/>
      <c r="Q30" s="4"/>
      <c r="R30" s="4"/>
      <c r="S30" s="4"/>
      <c r="T30" s="4"/>
    </row>
    <row r="31" spans="1:20" x14ac:dyDescent="0.25">
      <c r="A31" s="4" t="s">
        <v>22</v>
      </c>
      <c r="B31" s="37"/>
      <c r="C31" s="38"/>
      <c r="D31" s="46"/>
      <c r="E31" s="9"/>
      <c r="F31" s="9">
        <f t="shared" ref="F31:F37" si="11">IF(D31&gt;0,D31,E31-(G31*B$2*1.05)+H31-I31*12.5+J31)</f>
        <v>0.38709837962962945</v>
      </c>
      <c r="G31" s="13">
        <v>0.47050000000000003</v>
      </c>
      <c r="H31" s="5">
        <f t="shared" ref="H31:H37" si="12">G31*B$3*1.05</f>
        <v>1.3585687500000001</v>
      </c>
      <c r="I31" s="14">
        <v>8.037037037037037E-2</v>
      </c>
      <c r="J31" s="5">
        <f>I31*B$4*(1-B$7)+I31*B$6*(B$7)</f>
        <v>2.0092592592592591</v>
      </c>
      <c r="K31" s="5">
        <f t="shared" ref="K31:K37" si="13">F31-H31-J31</f>
        <v>-2.9807296296296295</v>
      </c>
      <c r="L31" s="5">
        <f t="shared" ref="L31:L37" si="14">K31*B$12</f>
        <v>-0.98364077777777781</v>
      </c>
      <c r="M31" s="5">
        <f t="shared" ref="M31:M37" si="15">K31-L31</f>
        <v>-1.9970888518518517</v>
      </c>
      <c r="N31" s="4"/>
      <c r="O31" s="5">
        <f t="shared" ref="O31:O37" si="16">IF(O$14="Increase",IF(C31="y",0,IF($B31&gt;0,H31*$B31*(1+O$15),0)),IF(C31="y",0,IF($B31&gt;0,H31*$B31*(1-O$15),0)))</f>
        <v>0</v>
      </c>
      <c r="P31" s="5">
        <f t="shared" ref="P31:P37" si="17">IF(P$14="Increase",IF(C31="y",0,IF($B31&gt;0,(I31*B$4*(1-B$7))*$B31*(1+P$15),0)),IF(C31="y",0,IF($B31&gt;0,(I31*B$4*(1-B$7))*$B31*(1-P$15),0)))</f>
        <v>0</v>
      </c>
      <c r="Q31" s="5">
        <f t="shared" ref="Q31:Q37" si="18">IF(Q$14="Increase",IF(C31="y",0,IF($B31&gt;0,(I31*B$6*(B$7))*$B31*(1+Q$15),0)),IF(C31="y",0,IF($B31&gt;0,(I31*B$6*(B$7))*$B31*(1-Q$15),0)))</f>
        <v>0</v>
      </c>
      <c r="R31" s="5">
        <f t="shared" ref="R31:R37" si="19">IF(R$14="Increase",IF(C31="y",0,IF($B31&gt;0,L31*$B31*(1+R$15),0)),IF(C31="y",0,IF($B31&gt;0,L31*$B31*(1-R$15),0)))</f>
        <v>0</v>
      </c>
      <c r="S31" s="5">
        <f t="shared" ref="S31:S37" si="20">IF(S$14="Increase",IF(C31="y",0,IF($B31&gt;0,M31*$B31*(1+S$15),0)),IF(C31="y",0,IF($B31&gt;0,M31*$B31*(1-S$15),0)))</f>
        <v>0</v>
      </c>
      <c r="T31" s="5">
        <f t="shared" ref="T31:T37" si="21">IF(T$14="Increase",IF(C31="y",F31*B31*(1+T$15),0),IF(C31="y",F31*B31*(1-T$15),0))</f>
        <v>0</v>
      </c>
    </row>
    <row r="32" spans="1:20" x14ac:dyDescent="0.25">
      <c r="A32" s="7"/>
      <c r="B32" s="37"/>
      <c r="C32" s="38"/>
      <c r="D32" s="46"/>
      <c r="E32" s="9"/>
      <c r="F32" s="9"/>
      <c r="G32" s="13"/>
      <c r="H32" s="5"/>
      <c r="I32" s="14"/>
      <c r="J32" s="5"/>
      <c r="K32" s="5"/>
      <c r="L32" s="5"/>
      <c r="M32" s="5"/>
      <c r="N32" s="4"/>
      <c r="O32" s="5"/>
      <c r="P32" s="5"/>
      <c r="Q32" s="5"/>
      <c r="R32" s="5"/>
      <c r="S32" s="5"/>
      <c r="T32" s="5"/>
    </row>
    <row r="33" spans="1:20" x14ac:dyDescent="0.25">
      <c r="A33" s="4" t="s">
        <v>24</v>
      </c>
      <c r="B33" s="37"/>
      <c r="C33" s="38"/>
      <c r="D33" s="46"/>
      <c r="E33" s="9"/>
      <c r="F33" s="9">
        <f t="shared" si="11"/>
        <v>0.38709837962962945</v>
      </c>
      <c r="G33" s="13">
        <v>0.47050000000000003</v>
      </c>
      <c r="H33" s="5">
        <f t="shared" si="12"/>
        <v>1.3585687500000001</v>
      </c>
      <c r="I33" s="14">
        <v>8.037037037037037E-2</v>
      </c>
      <c r="J33" s="5">
        <f>I33*B$4*(1-B$7)+I33*B$6*(B$7)</f>
        <v>2.0092592592592591</v>
      </c>
      <c r="K33" s="5">
        <f t="shared" si="13"/>
        <v>-2.9807296296296295</v>
      </c>
      <c r="L33" s="5">
        <f t="shared" si="14"/>
        <v>-0.98364077777777781</v>
      </c>
      <c r="M33" s="5">
        <f t="shared" si="15"/>
        <v>-1.9970888518518517</v>
      </c>
      <c r="N33" s="4"/>
      <c r="O33" s="5">
        <f t="shared" si="16"/>
        <v>0</v>
      </c>
      <c r="P33" s="5">
        <f t="shared" si="17"/>
        <v>0</v>
      </c>
      <c r="Q33" s="5">
        <f t="shared" si="18"/>
        <v>0</v>
      </c>
      <c r="R33" s="5">
        <f t="shared" si="19"/>
        <v>0</v>
      </c>
      <c r="S33" s="5">
        <f t="shared" si="20"/>
        <v>0</v>
      </c>
      <c r="T33" s="5">
        <f t="shared" si="21"/>
        <v>0</v>
      </c>
    </row>
    <row r="34" spans="1:20" x14ac:dyDescent="0.25">
      <c r="A34" s="4" t="s">
        <v>26</v>
      </c>
      <c r="B34" s="37"/>
      <c r="C34" s="38"/>
      <c r="D34" s="46"/>
      <c r="E34" s="9"/>
      <c r="F34" s="9">
        <f t="shared" si="11"/>
        <v>0.45379976851851822</v>
      </c>
      <c r="G34" s="13">
        <v>0.52550000000000008</v>
      </c>
      <c r="H34" s="5">
        <f t="shared" si="12"/>
        <v>1.5173812500000003</v>
      </c>
      <c r="I34" s="14">
        <v>9.1481481481481469E-2</v>
      </c>
      <c r="J34" s="5">
        <f>I34*B$4*(1-B$7)+I34*B$6*(B$7)</f>
        <v>2.2870370370370368</v>
      </c>
      <c r="K34" s="5">
        <f t="shared" si="13"/>
        <v>-3.3506185185185187</v>
      </c>
      <c r="L34" s="5">
        <f t="shared" si="14"/>
        <v>-1.1057041111111112</v>
      </c>
      <c r="M34" s="5">
        <f t="shared" si="15"/>
        <v>-2.2449144074074074</v>
      </c>
      <c r="N34" s="4"/>
      <c r="O34" s="5">
        <f t="shared" si="16"/>
        <v>0</v>
      </c>
      <c r="P34" s="5">
        <f t="shared" si="17"/>
        <v>0</v>
      </c>
      <c r="Q34" s="5">
        <f t="shared" si="18"/>
        <v>0</v>
      </c>
      <c r="R34" s="5">
        <f t="shared" si="19"/>
        <v>0</v>
      </c>
      <c r="S34" s="5">
        <f t="shared" si="20"/>
        <v>0</v>
      </c>
      <c r="T34" s="5">
        <f t="shared" si="21"/>
        <v>0</v>
      </c>
    </row>
    <row r="35" spans="1:20" x14ac:dyDescent="0.25">
      <c r="A35" s="4" t="s">
        <v>27</v>
      </c>
      <c r="B35" s="37"/>
      <c r="C35" s="38"/>
      <c r="D35" s="46"/>
      <c r="E35" s="9"/>
      <c r="F35" s="9">
        <f t="shared" si="11"/>
        <v>0.45379976851851822</v>
      </c>
      <c r="G35" s="13">
        <v>0.52550000000000008</v>
      </c>
      <c r="H35" s="5">
        <f t="shared" si="12"/>
        <v>1.5173812500000003</v>
      </c>
      <c r="I35" s="14">
        <v>9.1481481481481469E-2</v>
      </c>
      <c r="J35" s="5">
        <f>I35*B$4*(1-B$7)+I35*B$6*(B$7)</f>
        <v>2.2870370370370368</v>
      </c>
      <c r="K35" s="5">
        <f t="shared" si="13"/>
        <v>-3.3506185185185187</v>
      </c>
      <c r="L35" s="5">
        <f t="shared" si="14"/>
        <v>-1.1057041111111112</v>
      </c>
      <c r="M35" s="5">
        <f t="shared" si="15"/>
        <v>-2.2449144074074074</v>
      </c>
      <c r="N35" s="4"/>
      <c r="O35" s="5">
        <f t="shared" si="16"/>
        <v>0</v>
      </c>
      <c r="P35" s="5">
        <f t="shared" si="17"/>
        <v>0</v>
      </c>
      <c r="Q35" s="5">
        <f t="shared" si="18"/>
        <v>0</v>
      </c>
      <c r="R35" s="5">
        <f t="shared" si="19"/>
        <v>0</v>
      </c>
      <c r="S35" s="5">
        <f t="shared" si="20"/>
        <v>0</v>
      </c>
      <c r="T35" s="5">
        <f t="shared" si="21"/>
        <v>0</v>
      </c>
    </row>
    <row r="36" spans="1:20" x14ac:dyDescent="0.25">
      <c r="A36" s="4" t="s">
        <v>28</v>
      </c>
      <c r="B36" s="37"/>
      <c r="C36" s="38"/>
      <c r="D36" s="46"/>
      <c r="E36" s="9"/>
      <c r="F36" s="9">
        <f t="shared" si="11"/>
        <v>0.74316898148148125</v>
      </c>
      <c r="G36" s="13">
        <v>0.753</v>
      </c>
      <c r="H36" s="5">
        <f t="shared" si="12"/>
        <v>2.1742875000000002</v>
      </c>
      <c r="I36" s="14">
        <v>0.13851851851851851</v>
      </c>
      <c r="J36" s="5">
        <f>I36*B$4*(1-B$7)+I36*B$6*(B$7)</f>
        <v>3.4629629629629628</v>
      </c>
      <c r="K36" s="5">
        <f t="shared" si="13"/>
        <v>-4.8940814814814821</v>
      </c>
      <c r="L36" s="5">
        <f t="shared" si="14"/>
        <v>-1.6150468888888891</v>
      </c>
      <c r="M36" s="5">
        <f t="shared" si="15"/>
        <v>-3.279034592592593</v>
      </c>
      <c r="N36" s="4"/>
      <c r="O36" s="5">
        <f t="shared" si="16"/>
        <v>0</v>
      </c>
      <c r="P36" s="5">
        <f t="shared" si="17"/>
        <v>0</v>
      </c>
      <c r="Q36" s="5">
        <f t="shared" si="18"/>
        <v>0</v>
      </c>
      <c r="R36" s="5">
        <f t="shared" si="19"/>
        <v>0</v>
      </c>
      <c r="S36" s="5">
        <f t="shared" si="20"/>
        <v>0</v>
      </c>
      <c r="T36" s="5">
        <f t="shared" si="21"/>
        <v>0</v>
      </c>
    </row>
    <row r="37" spans="1:20" x14ac:dyDescent="0.25">
      <c r="A37" s="4" t="s">
        <v>29</v>
      </c>
      <c r="B37" s="37"/>
      <c r="C37" s="38"/>
      <c r="D37" s="46"/>
      <c r="E37" s="9"/>
      <c r="F37" s="9">
        <f t="shared" si="11"/>
        <v>0.74316898148148125</v>
      </c>
      <c r="G37" s="13">
        <v>0.753</v>
      </c>
      <c r="H37" s="5">
        <f t="shared" si="12"/>
        <v>2.1742875000000002</v>
      </c>
      <c r="I37" s="14">
        <v>0.13851851851851851</v>
      </c>
      <c r="J37" s="5">
        <f>I37*B$4*(1-B$7)+I37*B$6*(B$7)</f>
        <v>3.4629629629629628</v>
      </c>
      <c r="K37" s="5">
        <f t="shared" si="13"/>
        <v>-4.8940814814814821</v>
      </c>
      <c r="L37" s="5">
        <f t="shared" si="14"/>
        <v>-1.6150468888888891</v>
      </c>
      <c r="M37" s="5">
        <f t="shared" si="15"/>
        <v>-3.279034592592593</v>
      </c>
      <c r="N37" s="4"/>
      <c r="O37" s="5">
        <f t="shared" si="16"/>
        <v>0</v>
      </c>
      <c r="P37" s="5">
        <f t="shared" si="17"/>
        <v>0</v>
      </c>
      <c r="Q37" s="5">
        <f t="shared" si="18"/>
        <v>0</v>
      </c>
      <c r="R37" s="5">
        <f t="shared" si="19"/>
        <v>0</v>
      </c>
      <c r="S37" s="5">
        <f t="shared" si="20"/>
        <v>0</v>
      </c>
      <c r="T37" s="5">
        <f t="shared" si="21"/>
        <v>0</v>
      </c>
    </row>
    <row r="38" spans="1:20" x14ac:dyDescent="0.25">
      <c r="A38" s="4"/>
      <c r="B38" s="37"/>
      <c r="C38" s="38"/>
      <c r="D38" s="46"/>
      <c r="E38" s="9"/>
      <c r="F38" s="9"/>
      <c r="G38" s="4"/>
      <c r="H38" s="4"/>
      <c r="I38" s="4"/>
      <c r="J38" s="4"/>
      <c r="K38" s="4"/>
      <c r="L38" s="4"/>
      <c r="M38" s="4"/>
      <c r="N38" s="4"/>
      <c r="O38" s="4"/>
      <c r="P38" s="4"/>
      <c r="Q38" s="4"/>
      <c r="R38" s="4"/>
      <c r="S38" s="4"/>
      <c r="T38" s="4"/>
    </row>
    <row r="39" spans="1:20" x14ac:dyDescent="0.25">
      <c r="A39" s="12" t="s">
        <v>30</v>
      </c>
      <c r="B39" s="37"/>
      <c r="C39" s="38"/>
      <c r="D39" s="46"/>
      <c r="E39" s="9"/>
      <c r="F39" s="9"/>
      <c r="G39" s="4"/>
      <c r="H39" s="4"/>
      <c r="I39" s="4"/>
      <c r="J39" s="4"/>
      <c r="K39" s="4"/>
      <c r="L39" s="4"/>
      <c r="M39" s="4"/>
      <c r="N39" s="4"/>
      <c r="O39" s="4"/>
      <c r="P39" s="4"/>
      <c r="Q39" s="4"/>
      <c r="R39" s="4"/>
      <c r="S39" s="4"/>
      <c r="T39" s="4"/>
    </row>
    <row r="40" spans="1:20" x14ac:dyDescent="0.25">
      <c r="A40" s="4" t="s">
        <v>31</v>
      </c>
      <c r="B40" s="37"/>
      <c r="C40" s="38"/>
      <c r="D40" s="46"/>
      <c r="E40" s="9"/>
      <c r="F40" s="9">
        <f t="shared" ref="F40:F45" si="22">IF(D40&gt;0,D40,E40-(G40*B$2*1.05)+H40-I40*12.5+J40)</f>
        <v>0.23798553240740716</v>
      </c>
      <c r="G40" s="13">
        <v>0.79574999999999996</v>
      </c>
      <c r="H40" s="5">
        <f t="shared" ref="H40:H45" si="23">G40*B$3*1.05</f>
        <v>2.2977281249999999</v>
      </c>
      <c r="I40" s="14">
        <v>0.1025925925925926</v>
      </c>
      <c r="J40" s="5">
        <f t="shared" ref="J40:J45" si="24">I40*B$4*(1-B$7)+I40*B$6*(B$7)</f>
        <v>2.5648148148148149</v>
      </c>
      <c r="K40" s="5">
        <f t="shared" ref="K40:K45" si="25">F40-H40-J40</f>
        <v>-4.6245574074074076</v>
      </c>
      <c r="L40" s="5">
        <f t="shared" ref="L40:L45" si="26">K40*B$12</f>
        <v>-1.5261039444444446</v>
      </c>
      <c r="M40" s="5">
        <f t="shared" ref="M40:M45" si="27">K40-L40</f>
        <v>-3.0984534629629632</v>
      </c>
      <c r="N40" s="4"/>
      <c r="O40" s="5">
        <f t="shared" ref="O40:O45" si="28">IF(O$14="Increase",IF(C40="y",0,IF($B40&gt;0,H40*$B40*(1+O$15),0)),IF(C40="y",0,IF($B40&gt;0,H40*$B40*(1-O$15),0)))</f>
        <v>0</v>
      </c>
      <c r="P40" s="5">
        <f t="shared" ref="P40:P45" si="29">IF(P$14="Increase",IF(C40="y",0,IF($B40&gt;0,(I40*B$4*(1-B$7))*$B40*(1+P$15),0)),IF(C40="y",0,IF($B40&gt;0,(I40*B$4*(1-B$7))*$B40*(1-P$15),0)))</f>
        <v>0</v>
      </c>
      <c r="Q40" s="5">
        <f t="shared" ref="Q40:Q45" si="30">IF(Q$14="Increase",IF(C40="y",0,IF($B40&gt;0,(I40*B$6*(B$7))*$B40*(1+Q$15),0)),IF(C40="y",0,IF($B40&gt;0,(I40*B$6*(B$7))*$B40*(1-Q$15),0)))</f>
        <v>0</v>
      </c>
      <c r="R40" s="5">
        <f t="shared" ref="R40:R45" si="31">IF(R$14="Increase",IF(C40="y",0,IF($B40&gt;0,L40*$B40*(1+R$15),0)),IF(C40="y",0,IF($B40&gt;0,L40*$B40*(1-R$15),0)))</f>
        <v>0</v>
      </c>
      <c r="S40" s="5">
        <f t="shared" ref="S40:S45" si="32">IF(S$14="Increase",IF(C40="y",0,IF($B40&gt;0,M40*$B40*(1+S$15),0)),IF(C40="y",0,IF($B40&gt;0,M40*$B40*(1-S$15),0)))</f>
        <v>0</v>
      </c>
      <c r="T40" s="5">
        <f t="shared" ref="T40:T45" si="33">IF(T$14="Increase",IF(C40="y",F40*B40*(1+T$15),0),IF(C40="y",F40*B40*(1-T$15),0))</f>
        <v>0</v>
      </c>
    </row>
    <row r="41" spans="1:20" x14ac:dyDescent="0.25">
      <c r="A41" s="4" t="s">
        <v>23</v>
      </c>
      <c r="B41" s="37"/>
      <c r="C41" s="38"/>
      <c r="D41" s="46"/>
      <c r="E41" s="9"/>
      <c r="F41" s="9">
        <f t="shared" si="22"/>
        <v>0.23798553240740716</v>
      </c>
      <c r="G41" s="13">
        <v>0.79574999999999996</v>
      </c>
      <c r="H41" s="5">
        <f t="shared" si="23"/>
        <v>2.2977281249999999</v>
      </c>
      <c r="I41" s="14">
        <v>0.1025925925925926</v>
      </c>
      <c r="J41" s="5">
        <f t="shared" si="24"/>
        <v>2.5648148148148149</v>
      </c>
      <c r="K41" s="5">
        <f t="shared" si="25"/>
        <v>-4.6245574074074076</v>
      </c>
      <c r="L41" s="5">
        <f t="shared" si="26"/>
        <v>-1.5261039444444446</v>
      </c>
      <c r="M41" s="5">
        <f t="shared" si="27"/>
        <v>-3.0984534629629632</v>
      </c>
      <c r="N41" s="4"/>
      <c r="O41" s="5">
        <f t="shared" si="28"/>
        <v>0</v>
      </c>
      <c r="P41" s="5">
        <f t="shared" si="29"/>
        <v>0</v>
      </c>
      <c r="Q41" s="5">
        <f t="shared" si="30"/>
        <v>0</v>
      </c>
      <c r="R41" s="5">
        <f t="shared" si="31"/>
        <v>0</v>
      </c>
      <c r="S41" s="5">
        <f t="shared" si="32"/>
        <v>0</v>
      </c>
      <c r="T41" s="5">
        <f t="shared" si="33"/>
        <v>0</v>
      </c>
    </row>
    <row r="42" spans="1:20" x14ac:dyDescent="0.25">
      <c r="A42" s="4" t="s">
        <v>26</v>
      </c>
      <c r="B42" s="37">
        <v>1</v>
      </c>
      <c r="C42" s="38"/>
      <c r="D42" s="46"/>
      <c r="E42" s="9">
        <v>23.29185361432372</v>
      </c>
      <c r="F42" s="9">
        <f t="shared" si="22"/>
        <v>23.529839146731128</v>
      </c>
      <c r="G42" s="13">
        <v>0.79574999999999996</v>
      </c>
      <c r="H42" s="5">
        <f t="shared" si="23"/>
        <v>2.2977281249999999</v>
      </c>
      <c r="I42" s="14">
        <v>0.1025925925925926</v>
      </c>
      <c r="J42" s="5">
        <f t="shared" si="24"/>
        <v>2.5648148148148149</v>
      </c>
      <c r="K42" s="5">
        <f t="shared" si="25"/>
        <v>18.667296206916312</v>
      </c>
      <c r="L42" s="5">
        <f t="shared" si="26"/>
        <v>6.1602077482823834</v>
      </c>
      <c r="M42" s="5">
        <f t="shared" si="27"/>
        <v>12.507088458633929</v>
      </c>
      <c r="N42" s="4"/>
      <c r="O42" s="5">
        <f t="shared" si="28"/>
        <v>2.6423873437499998</v>
      </c>
      <c r="P42" s="5">
        <f t="shared" si="29"/>
        <v>2.9495370370370368</v>
      </c>
      <c r="Q42" s="5">
        <f t="shared" si="30"/>
        <v>0</v>
      </c>
      <c r="R42" s="5">
        <f t="shared" si="31"/>
        <v>7.0842389105247401</v>
      </c>
      <c r="S42" s="5">
        <f t="shared" si="32"/>
        <v>14.383151727429016</v>
      </c>
      <c r="T42" s="5">
        <f t="shared" si="33"/>
        <v>0</v>
      </c>
    </row>
    <row r="43" spans="1:20" x14ac:dyDescent="0.25">
      <c r="A43" s="4" t="s">
        <v>27</v>
      </c>
      <c r="B43" s="37"/>
      <c r="C43" s="38"/>
      <c r="D43" s="46"/>
      <c r="E43" s="9"/>
      <c r="F43" s="9">
        <f t="shared" si="22"/>
        <v>0.23798553240740716</v>
      </c>
      <c r="G43" s="13">
        <v>0.79574999999999996</v>
      </c>
      <c r="H43" s="5">
        <f t="shared" si="23"/>
        <v>2.2977281249999999</v>
      </c>
      <c r="I43" s="14">
        <v>0.1025925925925926</v>
      </c>
      <c r="J43" s="5">
        <f t="shared" si="24"/>
        <v>2.5648148148148149</v>
      </c>
      <c r="K43" s="5">
        <f t="shared" si="25"/>
        <v>-4.6245574074074076</v>
      </c>
      <c r="L43" s="5">
        <f t="shared" si="26"/>
        <v>-1.5261039444444446</v>
      </c>
      <c r="M43" s="5">
        <f t="shared" si="27"/>
        <v>-3.0984534629629632</v>
      </c>
      <c r="N43" s="4"/>
      <c r="O43" s="5">
        <f t="shared" si="28"/>
        <v>0</v>
      </c>
      <c r="P43" s="5">
        <f t="shared" si="29"/>
        <v>0</v>
      </c>
      <c r="Q43" s="5">
        <f t="shared" si="30"/>
        <v>0</v>
      </c>
      <c r="R43" s="5">
        <f t="shared" si="31"/>
        <v>0</v>
      </c>
      <c r="S43" s="5">
        <f t="shared" si="32"/>
        <v>0</v>
      </c>
      <c r="T43" s="5">
        <f t="shared" si="33"/>
        <v>0</v>
      </c>
    </row>
    <row r="44" spans="1:20" x14ac:dyDescent="0.25">
      <c r="A44" s="4" t="s">
        <v>28</v>
      </c>
      <c r="B44" s="37"/>
      <c r="C44" s="38"/>
      <c r="D44" s="46"/>
      <c r="E44" s="9"/>
      <c r="F44" s="9">
        <f t="shared" si="22"/>
        <v>0.44357581018518522</v>
      </c>
      <c r="G44" s="13">
        <v>0.85075000000000001</v>
      </c>
      <c r="H44" s="5">
        <f t="shared" si="23"/>
        <v>2.4565406250000001</v>
      </c>
      <c r="I44" s="14">
        <v>0.12481481481481482</v>
      </c>
      <c r="J44" s="5">
        <f t="shared" si="24"/>
        <v>3.1203703703703707</v>
      </c>
      <c r="K44" s="5">
        <f t="shared" si="25"/>
        <v>-5.1333351851851852</v>
      </c>
      <c r="L44" s="5">
        <f t="shared" si="26"/>
        <v>-1.6940006111111112</v>
      </c>
      <c r="M44" s="5">
        <f t="shared" si="27"/>
        <v>-3.4393345740740742</v>
      </c>
      <c r="N44" s="4"/>
      <c r="O44" s="5">
        <f t="shared" si="28"/>
        <v>0</v>
      </c>
      <c r="P44" s="5">
        <f t="shared" si="29"/>
        <v>0</v>
      </c>
      <c r="Q44" s="5">
        <f t="shared" si="30"/>
        <v>0</v>
      </c>
      <c r="R44" s="5">
        <f t="shared" si="31"/>
        <v>0</v>
      </c>
      <c r="S44" s="5">
        <f t="shared" si="32"/>
        <v>0</v>
      </c>
      <c r="T44" s="5">
        <f t="shared" si="33"/>
        <v>0</v>
      </c>
    </row>
    <row r="45" spans="1:20" x14ac:dyDescent="0.25">
      <c r="A45" s="4" t="s">
        <v>29</v>
      </c>
      <c r="B45" s="37"/>
      <c r="C45" s="38"/>
      <c r="D45" s="46"/>
      <c r="E45" s="9"/>
      <c r="F45" s="9">
        <f t="shared" si="22"/>
        <v>0.44357581018518522</v>
      </c>
      <c r="G45" s="13">
        <v>0.85075000000000001</v>
      </c>
      <c r="H45" s="5">
        <f t="shared" si="23"/>
        <v>2.4565406250000001</v>
      </c>
      <c r="I45" s="14">
        <v>0.12481481481481482</v>
      </c>
      <c r="J45" s="5">
        <f t="shared" si="24"/>
        <v>3.1203703703703707</v>
      </c>
      <c r="K45" s="5">
        <f t="shared" si="25"/>
        <v>-5.1333351851851852</v>
      </c>
      <c r="L45" s="5">
        <f t="shared" si="26"/>
        <v>-1.6940006111111112</v>
      </c>
      <c r="M45" s="5">
        <f t="shared" si="27"/>
        <v>-3.4393345740740742</v>
      </c>
      <c r="N45" s="4"/>
      <c r="O45" s="5">
        <f t="shared" si="28"/>
        <v>0</v>
      </c>
      <c r="P45" s="5">
        <f t="shared" si="29"/>
        <v>0</v>
      </c>
      <c r="Q45" s="5">
        <f t="shared" si="30"/>
        <v>0</v>
      </c>
      <c r="R45" s="5">
        <f t="shared" si="31"/>
        <v>0</v>
      </c>
      <c r="S45" s="5">
        <f t="shared" si="32"/>
        <v>0</v>
      </c>
      <c r="T45" s="5">
        <f t="shared" si="33"/>
        <v>0</v>
      </c>
    </row>
    <row r="46" spans="1:20" x14ac:dyDescent="0.25">
      <c r="A46" s="4"/>
      <c r="B46" s="37"/>
      <c r="C46" s="38"/>
      <c r="D46" s="46"/>
      <c r="E46" s="9"/>
      <c r="F46" s="9"/>
      <c r="G46" s="4"/>
      <c r="H46" s="4"/>
      <c r="I46" s="4"/>
      <c r="J46" s="4"/>
      <c r="K46" s="4"/>
      <c r="L46" s="4"/>
      <c r="M46" s="4"/>
      <c r="N46" s="4"/>
      <c r="O46" s="4"/>
      <c r="P46" s="4"/>
      <c r="Q46" s="4"/>
      <c r="R46" s="4"/>
      <c r="S46" s="4"/>
      <c r="T46" s="4"/>
    </row>
    <row r="47" spans="1:20" x14ac:dyDescent="0.25">
      <c r="A47" s="12" t="s">
        <v>32</v>
      </c>
      <c r="B47" s="37"/>
      <c r="C47" s="38"/>
      <c r="D47" s="46"/>
      <c r="E47" s="9"/>
      <c r="F47" s="9"/>
      <c r="G47" s="4"/>
      <c r="H47" s="4"/>
      <c r="I47" s="4"/>
      <c r="J47" s="4"/>
      <c r="K47" s="4"/>
      <c r="L47" s="4"/>
      <c r="M47" s="4"/>
      <c r="N47" s="4"/>
      <c r="O47" s="4"/>
      <c r="P47" s="4"/>
      <c r="Q47" s="4"/>
      <c r="R47" s="4"/>
      <c r="S47" s="4"/>
      <c r="T47" s="4"/>
    </row>
    <row r="48" spans="1:20" x14ac:dyDescent="0.25">
      <c r="A48" s="4" t="s">
        <v>33</v>
      </c>
      <c r="B48" s="37"/>
      <c r="C48" s="38"/>
      <c r="D48" s="46"/>
      <c r="E48" s="9"/>
      <c r="F48" s="9">
        <f t="shared" ref="F48:F54" si="34">IF(D48&gt;0,D48,E48-(G48*B$2*1.05)+H48-I48*12.5+J48)</f>
        <v>-0.58242650462963041</v>
      </c>
      <c r="G48" s="13">
        <v>2.2497499999999997</v>
      </c>
      <c r="H48" s="5">
        <f t="shared" ref="H48:H54" si="35">G48*B$3*1.05</f>
        <v>6.4961531249999993</v>
      </c>
      <c r="I48" s="14">
        <v>0.18962962962962962</v>
      </c>
      <c r="J48" s="5">
        <f>I48*B$4*(1-B$7)+I48*B$6*(B$7)</f>
        <v>4.7407407407407405</v>
      </c>
      <c r="K48" s="5">
        <f t="shared" ref="K48:K55" si="36">F48-H48-J48</f>
        <v>-11.81932037037037</v>
      </c>
      <c r="L48" s="5">
        <f t="shared" ref="L48:L55" si="37">K48*B$12</f>
        <v>-3.9003757222222224</v>
      </c>
      <c r="M48" s="5">
        <f t="shared" ref="M48:M55" si="38">K48-L48</f>
        <v>-7.9189446481481482</v>
      </c>
      <c r="N48" s="4"/>
      <c r="O48" s="5">
        <f t="shared" ref="O48:O54" si="39">IF(O$14="Increase",IF(C48="y",0,IF($B48&gt;0,H48*$B48*(1+O$15),0)),IF(C48="y",0,IF($B48&gt;0,H48*$B48*(1-O$15),0)))</f>
        <v>0</v>
      </c>
      <c r="P48" s="5">
        <f t="shared" ref="P48:P54" si="40">IF(P$14="Increase",IF(C48="y",0,IF($B48&gt;0,(I48*B$4*(1-B$7))*$B48*(1+P$15),0)),IF(C48="y",0,IF($B48&gt;0,(I48*B$4*(1-B$7))*$B48*(1-P$15),0)))</f>
        <v>0</v>
      </c>
      <c r="Q48" s="5">
        <f t="shared" ref="Q48:Q54" si="41">IF(Q$14="Increase",IF(C48="y",0,IF($B48&gt;0,(I48*B$6*(B$7))*$B48*(1+Q$15),0)),IF(C48="y",0,IF($B48&gt;0,(I48*B$6*(B$7))*$B48*(1-Q$15),0)))</f>
        <v>0</v>
      </c>
      <c r="R48" s="5">
        <f t="shared" ref="R48:R54" si="42">IF(R$14="Increase",IF(C48="y",0,IF($B48&gt;0,L48*$B48*(1+R$15),0)),IF(C48="y",0,IF($B48&gt;0,L48*$B48*(1-R$15),0)))</f>
        <v>0</v>
      </c>
      <c r="S48" s="5">
        <f t="shared" ref="S48:S54" si="43">IF(S$14="Increase",IF(C48="y",0,IF($B48&gt;0,M48*$B48*(1+S$15),0)),IF(C48="y",0,IF($B48&gt;0,M48*$B48*(1-S$15),0)))</f>
        <v>0</v>
      </c>
      <c r="T48" s="5">
        <f t="shared" ref="T48:T54" si="44">IF(T$14="Increase",IF(C48="y",F48*B48*(1+T$15),0),IF(C48="y",F48*B48*(1-T$15),0))</f>
        <v>0</v>
      </c>
    </row>
    <row r="49" spans="1:21" x14ac:dyDescent="0.25">
      <c r="A49" s="4" t="s">
        <v>34</v>
      </c>
      <c r="B49" s="37"/>
      <c r="C49" s="38"/>
      <c r="D49" s="46"/>
      <c r="E49" s="9"/>
      <c r="F49" s="9">
        <f t="shared" si="34"/>
        <v>-0.58242650462963041</v>
      </c>
      <c r="G49" s="13">
        <v>2.2497499999999997</v>
      </c>
      <c r="H49" s="5">
        <f t="shared" si="35"/>
        <v>6.4961531249999993</v>
      </c>
      <c r="I49" s="14">
        <v>0.18962962962962962</v>
      </c>
      <c r="J49" s="5">
        <f>I49*B$4*(1-B$7)+I49*B$6*(B$7)</f>
        <v>4.7407407407407405</v>
      </c>
      <c r="K49" s="5">
        <f t="shared" si="36"/>
        <v>-11.81932037037037</v>
      </c>
      <c r="L49" s="5">
        <f t="shared" si="37"/>
        <v>-3.9003757222222224</v>
      </c>
      <c r="M49" s="5">
        <f t="shared" si="38"/>
        <v>-7.9189446481481482</v>
      </c>
      <c r="N49" s="4"/>
      <c r="O49" s="5">
        <f t="shared" si="39"/>
        <v>0</v>
      </c>
      <c r="P49" s="5">
        <f t="shared" si="40"/>
        <v>0</v>
      </c>
      <c r="Q49" s="5">
        <f t="shared" si="41"/>
        <v>0</v>
      </c>
      <c r="R49" s="5">
        <f t="shared" si="42"/>
        <v>0</v>
      </c>
      <c r="S49" s="5">
        <f t="shared" si="43"/>
        <v>0</v>
      </c>
      <c r="T49" s="5">
        <f t="shared" si="44"/>
        <v>0</v>
      </c>
    </row>
    <row r="50" spans="1:21" x14ac:dyDescent="0.25">
      <c r="A50" s="7"/>
      <c r="B50" s="37"/>
      <c r="C50" s="38"/>
      <c r="D50" s="46"/>
      <c r="E50" s="9"/>
      <c r="F50" s="9"/>
      <c r="G50" s="13"/>
      <c r="H50" s="5"/>
      <c r="I50" s="14"/>
      <c r="J50" s="5"/>
      <c r="K50" s="5"/>
      <c r="L50" s="5"/>
      <c r="M50" s="5"/>
      <c r="N50" s="4"/>
      <c r="O50" s="5"/>
      <c r="P50" s="5"/>
      <c r="Q50" s="5"/>
      <c r="R50" s="5"/>
      <c r="S50" s="5"/>
      <c r="T50" s="5"/>
    </row>
    <row r="51" spans="1:21" x14ac:dyDescent="0.25">
      <c r="A51" s="7"/>
      <c r="B51" s="37"/>
      <c r="C51" s="38"/>
      <c r="D51" s="46"/>
      <c r="E51" s="9"/>
      <c r="F51" s="9"/>
      <c r="G51" s="13"/>
      <c r="H51" s="5"/>
      <c r="I51" s="14"/>
      <c r="J51" s="5"/>
      <c r="K51" s="5"/>
      <c r="L51" s="5"/>
      <c r="M51" s="5"/>
      <c r="N51" s="4"/>
      <c r="O51" s="5"/>
      <c r="P51" s="5"/>
      <c r="Q51" s="5"/>
      <c r="R51" s="5"/>
      <c r="S51" s="5"/>
      <c r="T51" s="5"/>
    </row>
    <row r="52" spans="1:21" x14ac:dyDescent="0.25">
      <c r="A52" s="4" t="s">
        <v>35</v>
      </c>
      <c r="B52" s="37">
        <v>1</v>
      </c>
      <c r="C52" s="38"/>
      <c r="D52" s="46"/>
      <c r="E52" s="9">
        <v>38.634414428409912</v>
      </c>
      <c r="F52" s="9">
        <f t="shared" si="34"/>
        <v>38.123279011743243</v>
      </c>
      <c r="G52" s="13">
        <v>1.8815</v>
      </c>
      <c r="H52" s="5">
        <f t="shared" si="35"/>
        <v>5.4328312500000004</v>
      </c>
      <c r="I52" s="14">
        <v>0.15666666666666668</v>
      </c>
      <c r="J52" s="5">
        <f>I52*B$4*(1-B$7)+I52*B$6*(B$7)</f>
        <v>3.916666666666667</v>
      </c>
      <c r="K52" s="5">
        <f t="shared" si="36"/>
        <v>28.773781095076576</v>
      </c>
      <c r="L52" s="5">
        <f t="shared" si="37"/>
        <v>9.495347761375271</v>
      </c>
      <c r="M52" s="5">
        <f t="shared" si="38"/>
        <v>19.278433333701305</v>
      </c>
      <c r="N52" s="4"/>
      <c r="O52" s="5">
        <f t="shared" si="39"/>
        <v>6.2477559375</v>
      </c>
      <c r="P52" s="5">
        <f t="shared" si="40"/>
        <v>4.5041666666666664</v>
      </c>
      <c r="Q52" s="5">
        <f t="shared" si="41"/>
        <v>0</v>
      </c>
      <c r="R52" s="5">
        <f t="shared" si="42"/>
        <v>10.919649925581561</v>
      </c>
      <c r="S52" s="5">
        <f t="shared" si="43"/>
        <v>22.170198333756499</v>
      </c>
      <c r="T52" s="5">
        <f t="shared" si="44"/>
        <v>0</v>
      </c>
    </row>
    <row r="53" spans="1:21" x14ac:dyDescent="0.25">
      <c r="A53" s="4" t="s">
        <v>36</v>
      </c>
      <c r="B53" s="37"/>
      <c r="C53" s="38"/>
      <c r="D53" s="46"/>
      <c r="E53" s="9"/>
      <c r="F53" s="9">
        <f t="shared" si="34"/>
        <v>-0.3873443287037035</v>
      </c>
      <c r="G53" s="13">
        <v>1.4732500000000002</v>
      </c>
      <c r="H53" s="5">
        <f t="shared" si="35"/>
        <v>4.2540093750000008</v>
      </c>
      <c r="I53" s="14">
        <v>0.1237037037037037</v>
      </c>
      <c r="J53" s="5">
        <f>I53*B$4*(1-B$7)+I53*B$6*(B$7)</f>
        <v>3.0925925925925926</v>
      </c>
      <c r="K53" s="5">
        <f t="shared" si="36"/>
        <v>-7.7339462962962964</v>
      </c>
      <c r="L53" s="5">
        <f t="shared" si="37"/>
        <v>-2.552202277777778</v>
      </c>
      <c r="M53" s="5">
        <f t="shared" si="38"/>
        <v>-5.1817440185185184</v>
      </c>
      <c r="N53" s="4"/>
      <c r="O53" s="5">
        <f t="shared" si="39"/>
        <v>0</v>
      </c>
      <c r="P53" s="5">
        <f t="shared" si="40"/>
        <v>0</v>
      </c>
      <c r="Q53" s="5">
        <f t="shared" si="41"/>
        <v>0</v>
      </c>
      <c r="R53" s="5">
        <f t="shared" si="42"/>
        <v>0</v>
      </c>
      <c r="S53" s="5">
        <f t="shared" si="43"/>
        <v>0</v>
      </c>
      <c r="T53" s="5">
        <f t="shared" si="44"/>
        <v>0</v>
      </c>
    </row>
    <row r="54" spans="1:21" x14ac:dyDescent="0.25">
      <c r="A54" s="7" t="s">
        <v>55</v>
      </c>
      <c r="B54" s="40"/>
      <c r="C54" s="41"/>
      <c r="D54" s="47"/>
      <c r="E54" s="6">
        <v>6.4347418727055778</v>
      </c>
      <c r="F54" s="6">
        <f t="shared" si="34"/>
        <v>7.4747418727055779</v>
      </c>
      <c r="G54" s="18">
        <v>0.16</v>
      </c>
      <c r="H54" s="8">
        <f t="shared" si="35"/>
        <v>0.46200000000000002</v>
      </c>
      <c r="I54" s="19">
        <v>0.1</v>
      </c>
      <c r="J54" s="5">
        <f>I54*B$4*(1-B$7)+I54*B$6*(B$7)</f>
        <v>2.5</v>
      </c>
      <c r="K54" s="8">
        <f t="shared" si="36"/>
        <v>4.5127418727055781</v>
      </c>
      <c r="L54" s="8">
        <f t="shared" si="37"/>
        <v>1.4892048179928408</v>
      </c>
      <c r="M54" s="8">
        <f t="shared" si="38"/>
        <v>3.0235370547127376</v>
      </c>
      <c r="N54" s="7"/>
      <c r="O54" s="8">
        <f t="shared" si="39"/>
        <v>0</v>
      </c>
      <c r="P54" s="8">
        <f t="shared" si="40"/>
        <v>0</v>
      </c>
      <c r="Q54" s="8">
        <f t="shared" si="41"/>
        <v>0</v>
      </c>
      <c r="R54" s="8">
        <f t="shared" si="42"/>
        <v>0</v>
      </c>
      <c r="S54" s="8">
        <f t="shared" si="43"/>
        <v>0</v>
      </c>
      <c r="T54" s="8">
        <f t="shared" si="44"/>
        <v>0</v>
      </c>
      <c r="U54" s="2"/>
    </row>
    <row r="55" spans="1:21" x14ac:dyDescent="0.25">
      <c r="A55" s="179" t="s">
        <v>112</v>
      </c>
      <c r="B55" s="125"/>
      <c r="C55" s="41"/>
      <c r="D55" s="47"/>
      <c r="E55" s="6"/>
      <c r="F55" s="6">
        <f>IF(D55&gt;0,D55,Trucking!H25*'No-Till Soybeans'!D5)</f>
        <v>18.66403553506408</v>
      </c>
      <c r="G55" s="18">
        <f>(('No-Till Soybeans'!D5*Trucking!B25*2)*(1+Trucking!C4))/(Trucking!C3*Trucking!C2)</f>
        <v>1.5473684210526315</v>
      </c>
      <c r="H55" s="8">
        <f>G55*Trucking!C9</f>
        <v>4.7504210526315784</v>
      </c>
      <c r="I55" s="19">
        <f>'No-Till Soybeans'!D5*((((B8*2)/Trucking!C7) + (Trucking!C5/60)))/Trucking!C2</f>
        <v>0.25543859649122808</v>
      </c>
      <c r="J55" s="5">
        <f>I55*B$4*(1-B$7)+I55*B$6*(B$7)</f>
        <v>6.3859649122807021</v>
      </c>
      <c r="K55" s="8">
        <f t="shared" si="36"/>
        <v>7.5276495701517998</v>
      </c>
      <c r="L55" s="8">
        <f t="shared" si="37"/>
        <v>2.484124358150094</v>
      </c>
      <c r="M55" s="8">
        <f t="shared" si="38"/>
        <v>5.0435252120017058</v>
      </c>
      <c r="N55" s="7"/>
      <c r="O55" s="8">
        <f>IF(O$14="Increase",IF(C55="y",0,IF($B8&gt;0,H55*(1+O$15),0)),IF(C55="y",0,IF($B8&gt;0,H55*(1-O$15),0)))</f>
        <v>5.4629842105263151</v>
      </c>
      <c r="P55" s="8">
        <f>IF(P$14="Increase",IF(C55="y",0,IF($B8&gt;0,(I55*B$4*(1-B$7)*(1+P$15)),0)),IF(C55="y",0,IF($B8&gt;0,(I55*B$4*(1-B$7)*(1-P$15)),0)))</f>
        <v>7.3438596491228072</v>
      </c>
      <c r="Q55" s="8">
        <f>IF(Q$14="Increase",IF(C55="y",0,IF($B8&gt;0,(I55*B$6*(B$7)*(1+Q$15)),0)),IF(C55="y",0,IF($B8&gt;0,(I55*B$6*(B$7)*(1-Q$15)),0)))</f>
        <v>0</v>
      </c>
      <c r="R55" s="8">
        <f>IF(R$14="Increase",IF(C55="y",0,IF($B8&gt;0,L55*(1+R$15),0)),IF(C55="y",0,IF($B8&gt;0,L55*(1-R$15),0)))</f>
        <v>2.856743011872608</v>
      </c>
      <c r="S55" s="8">
        <f>IF(S$14="Increase",IF(C55="y",0,IF($B8&gt;0,M55*(1+S$15),0)),IF(C55="y",0,IF($B8&gt;0,M55*(1-S$15),0)))</f>
        <v>5.8000539938019608</v>
      </c>
      <c r="T55" s="8">
        <f>IF(T$14="Increase",IF(C55="y",F55*(1+T$15),0),IF(C55="y",F55*(1-T$15),0))</f>
        <v>0</v>
      </c>
    </row>
    <row r="56" spans="1:21" x14ac:dyDescent="0.25">
      <c r="A56" s="4"/>
      <c r="B56" s="37"/>
      <c r="C56" s="38"/>
      <c r="D56" s="46"/>
      <c r="E56" s="9"/>
      <c r="F56" s="9"/>
      <c r="G56" s="4"/>
      <c r="H56" s="4"/>
      <c r="I56" s="4"/>
      <c r="J56" s="4"/>
      <c r="K56" s="4"/>
      <c r="L56" s="4"/>
      <c r="M56" s="4"/>
      <c r="N56" s="4"/>
      <c r="O56" s="4"/>
      <c r="P56" s="4"/>
      <c r="Q56" s="4"/>
      <c r="R56" s="4"/>
      <c r="S56" s="4"/>
      <c r="T56" s="4"/>
    </row>
    <row r="57" spans="1:21" x14ac:dyDescent="0.25">
      <c r="A57" s="12" t="s">
        <v>37</v>
      </c>
      <c r="B57" s="37"/>
      <c r="C57" s="38"/>
      <c r="D57" s="46"/>
      <c r="E57" s="9"/>
      <c r="F57" s="9"/>
      <c r="G57" s="4"/>
      <c r="H57" s="4"/>
      <c r="I57" s="4"/>
      <c r="J57" s="4"/>
      <c r="K57" s="4"/>
      <c r="L57" s="4"/>
      <c r="M57" s="4"/>
      <c r="N57" s="4"/>
      <c r="O57" s="4"/>
      <c r="P57" s="4"/>
      <c r="Q57" s="4"/>
      <c r="R57" s="4"/>
      <c r="S57" s="4"/>
      <c r="T57" s="4"/>
    </row>
    <row r="58" spans="1:21" x14ac:dyDescent="0.25">
      <c r="A58" s="4" t="s">
        <v>38</v>
      </c>
      <c r="B58" s="37"/>
      <c r="C58" s="38"/>
      <c r="D58" s="46"/>
      <c r="E58" s="9"/>
      <c r="F58" s="9">
        <f>IF(D58&gt;0,D58,E58-(G58*B$2*1.05)+H58-I58*12.5+J58)</f>
        <v>0.74299137205387389</v>
      </c>
      <c r="G58" s="13">
        <v>4.7649999999999997</v>
      </c>
      <c r="H58" s="5">
        <f>G58*B$3*1.05</f>
        <v>13.7589375</v>
      </c>
      <c r="I58" s="14">
        <v>0.55976430976430969</v>
      </c>
      <c r="J58" s="5">
        <f>I58*B$4*(1-B$7)+I58*B$6*(B$7)</f>
        <v>13.994107744107742</v>
      </c>
      <c r="K58" s="5">
        <f>F58-H58-J58</f>
        <v>-27.010053872053867</v>
      </c>
      <c r="L58" s="5">
        <f>K58*B$12</f>
        <v>-8.9133177777777757</v>
      </c>
      <c r="M58" s="5">
        <f>K58-L58</f>
        <v>-18.096736094276089</v>
      </c>
      <c r="N58" s="4"/>
      <c r="O58" s="5">
        <f>IF(O$14="Increase",IF(C58="y",0,IF($B58&gt;0,H58*$B58*(1+O$15),0)),IF(C58="y",0,IF($B58&gt;0,H58*$B58*(1-O$15),0)))</f>
        <v>0</v>
      </c>
      <c r="P58" s="5">
        <f>IF(P$14="Increase",IF(C58="y",0,IF($B58&gt;0,(I58*B$4*(1-B$7))*$B58*(1+P$15),0)),IF(C58="y",0,IF($B58&gt;0,(I58*B$4*(1-B$7))*$B58*(1-P$15),0)))</f>
        <v>0</v>
      </c>
      <c r="Q58" s="5">
        <f>IF(Q$14="Increase",IF(C58="y",0,IF($B58&gt;0,(I58*B$6*(B$7))*$B58*(1+Q$15),0)),IF(C58="y",0,IF($B58&gt;0,(I58*B$6*(B$7))*$B58*(1-Q$15),0)))</f>
        <v>0</v>
      </c>
      <c r="R58" s="5">
        <f>IF(R$14="Increase",IF(C58="y",0,IF($B58&gt;0,L58*$B58*(1+R$15),0)),IF(C58="y",0,IF($B58&gt;0,L58*$B58*(1-R$15),0)))</f>
        <v>0</v>
      </c>
      <c r="S58" s="5">
        <f>IF(S$14="Increase",IF(C58="y",0,IF($B58&gt;0,M58*$B58*(1+S$15),0)),IF(C58="y",0,IF($B58&gt;0,M58*$B58*(1-S$15),0)))</f>
        <v>0</v>
      </c>
      <c r="T58" s="5">
        <f>IF(T$14="Increase",IF(C58="y",F58*B58*(1+T$15),0),IF(C58="y",F58*B58*(1-T$15),0))</f>
        <v>0</v>
      </c>
    </row>
    <row r="59" spans="1:21" x14ac:dyDescent="0.25">
      <c r="A59" s="4" t="s">
        <v>25</v>
      </c>
      <c r="B59" s="37"/>
      <c r="C59" s="38"/>
      <c r="D59" s="46"/>
      <c r="E59" s="15"/>
      <c r="F59" s="9">
        <f>IF(D59&gt;0,D59,E59-(G59*B$2*1.05)+H59-I59*12.5+J59)</f>
        <v>0.68035216750841876</v>
      </c>
      <c r="G59" s="13">
        <v>3.7044999999999999</v>
      </c>
      <c r="H59" s="5">
        <f>G59*B$3*1.05</f>
        <v>10.69674375</v>
      </c>
      <c r="I59" s="14">
        <v>0.44340067340067341</v>
      </c>
      <c r="J59" s="5">
        <f>I59*B$4*(1-B$7)+I59*B$6*(B$7)</f>
        <v>11.085016835016836</v>
      </c>
      <c r="K59" s="5">
        <f>F59-H59-J59</f>
        <v>-21.101408417508416</v>
      </c>
      <c r="L59" s="5">
        <f>K59*B$12</f>
        <v>-6.9634647777777774</v>
      </c>
      <c r="M59" s="5">
        <f>K59-L59</f>
        <v>-14.13794363973064</v>
      </c>
      <c r="N59" s="4"/>
      <c r="O59" s="5">
        <f>IF(O$14="Increase",IF(C59="y",0,IF($B59&gt;0,H59*$B59*(1+O$15),0)),IF(C59="y",0,IF($B59&gt;0,H59*$B59*(1-O$15),0)))</f>
        <v>0</v>
      </c>
      <c r="P59" s="5">
        <f>IF(P$14="Increase",IF(C59="y",0,IF($B59&gt;0,(I59*B$4*(1-B$7))*$B59*(1+P$15),0)),IF(C59="y",0,IF($B59&gt;0,(I59*B$4*(1-B$7))*$B59*(1-P$15),0)))</f>
        <v>0</v>
      </c>
      <c r="Q59" s="5">
        <f>IF(Q$14="Increase",IF(C59="y",0,IF($B59&gt;0,(I59*B$6*(B$7))*$B59*(1+Q$15),0)),IF(C59="y",0,IF($B59&gt;0,(I59*B$6*(B$7))*$B59*(1-Q$15),0)))</f>
        <v>0</v>
      </c>
      <c r="R59" s="5">
        <f>IF(R$14="Increase",IF(C59="y",0,IF($B59&gt;0,L59*$B59*(1+R$15),0)),IF(C59="y",0,IF($B59&gt;0,L59*$B59*(1-R$15),0)))</f>
        <v>0</v>
      </c>
      <c r="S59" s="5">
        <f>IF(S$14="Increase",IF(C59="y",0,IF($B59&gt;0,M59*$B59*(1+S$15),0)),IF(C59="y",0,IF($B59&gt;0,M59*$B59*(1-S$15),0)))</f>
        <v>0</v>
      </c>
      <c r="T59" s="5">
        <f>IF(T$14="Increase",IF(C59="y",F59*B59*(1+T$15),0),IF(C59="y",F59*B59*(1-T$15),0))</f>
        <v>0</v>
      </c>
    </row>
    <row r="60" spans="1:21" x14ac:dyDescent="0.25">
      <c r="A60" s="4" t="s">
        <v>39</v>
      </c>
      <c r="B60" s="37"/>
      <c r="C60" s="38"/>
      <c r="D60" s="46"/>
      <c r="E60" s="15"/>
      <c r="F60" s="9">
        <f>IF(D60&gt;0,D60,E60-(G60*B$2*1.05)+H60-I60*12.5+J60)</f>
        <v>0.59994765361952673</v>
      </c>
      <c r="G60" s="13">
        <v>3.1837499999999999</v>
      </c>
      <c r="H60" s="5">
        <f>G60*B$3*1.05</f>
        <v>9.1930781249999995</v>
      </c>
      <c r="I60" s="14">
        <v>0.38228956228956223</v>
      </c>
      <c r="J60" s="5">
        <f>I60*B$4*(1-B$7)+I60*B$6*(B$7)</f>
        <v>9.5572390572390553</v>
      </c>
      <c r="K60" s="5">
        <f>F60-H60-J60</f>
        <v>-18.150369528619528</v>
      </c>
      <c r="L60" s="5">
        <f>K60*B$12</f>
        <v>-5.989621944444445</v>
      </c>
      <c r="M60" s="5">
        <f>K60-L60</f>
        <v>-12.160747584175084</v>
      </c>
      <c r="N60" s="4"/>
      <c r="O60" s="5">
        <f>IF(O$14="Increase",IF(C60="y",0,IF($B60&gt;0,H60*$B60*(1+O$15),0)),IF(C60="y",0,IF($B60&gt;0,H60*$B60*(1-O$15),0)))</f>
        <v>0</v>
      </c>
      <c r="P60" s="5">
        <f>IF(P$14="Increase",IF(C60="y",0,IF($B60&gt;0,(I60*B$4*(1-B$7))*$B60*(1+P$15),0)),IF(C60="y",0,IF($B60&gt;0,(I60*B$4*(1-B$7))*$B60*(1-P$15),0)))</f>
        <v>0</v>
      </c>
      <c r="Q60" s="5">
        <f>IF(Q$14="Increase",IF(C60="y",0,IF($B60&gt;0,(I60*B$6*(B$7))*$B60*(1+Q$15),0)),IF(C60="y",0,IF($B60&gt;0,(I60*B$6*(B$7))*$B60*(1-Q$15),0)))</f>
        <v>0</v>
      </c>
      <c r="R60" s="5">
        <f>IF(R$14="Increase",IF(C60="y",0,IF($B60&gt;0,L60*$B60*(1+R$15),0)),IF(C60="y",0,IF($B60&gt;0,L60*$B60*(1-R$15),0)))</f>
        <v>0</v>
      </c>
      <c r="S60" s="5">
        <f>IF(S$14="Increase",IF(C60="y",0,IF($B60&gt;0,M60*$B60*(1+S$15),0)),IF(C60="y",0,IF($B60&gt;0,M60*$B60*(1-S$15),0)))</f>
        <v>0</v>
      </c>
      <c r="T60" s="5">
        <f>IF(T$14="Increase",IF(C60="y",F60*B60*(1+T$15),0),IF(C60="y",F60*B60*(1-T$15),0))</f>
        <v>0</v>
      </c>
    </row>
    <row r="61" spans="1:21" x14ac:dyDescent="0.25">
      <c r="A61" s="4"/>
      <c r="B61" s="37"/>
      <c r="C61" s="38"/>
      <c r="D61" s="46"/>
      <c r="E61" s="9"/>
      <c r="F61" s="9"/>
      <c r="G61" s="4"/>
      <c r="H61" s="4"/>
      <c r="I61" s="4"/>
      <c r="J61" s="4"/>
      <c r="K61" s="4"/>
      <c r="L61" s="4"/>
      <c r="M61" s="4"/>
      <c r="N61" s="4"/>
      <c r="O61" s="4"/>
      <c r="P61" s="4"/>
      <c r="Q61" s="4"/>
      <c r="R61" s="4"/>
      <c r="S61" s="4"/>
      <c r="T61" s="4"/>
    </row>
    <row r="62" spans="1:21" x14ac:dyDescent="0.25">
      <c r="A62" s="12" t="s">
        <v>40</v>
      </c>
      <c r="B62" s="37"/>
      <c r="C62" s="38"/>
      <c r="D62" s="46"/>
      <c r="E62" s="9"/>
      <c r="F62" s="9"/>
      <c r="G62" s="4"/>
      <c r="H62" s="4"/>
      <c r="I62" s="4"/>
      <c r="J62" s="4"/>
      <c r="K62" s="4"/>
      <c r="L62" s="4"/>
      <c r="M62" s="4"/>
      <c r="N62" s="4"/>
      <c r="O62" s="4"/>
      <c r="P62" s="4"/>
      <c r="Q62" s="4"/>
      <c r="R62" s="4"/>
      <c r="S62" s="4"/>
      <c r="T62" s="4"/>
    </row>
    <row r="63" spans="1:21" x14ac:dyDescent="0.25">
      <c r="A63" s="4" t="s">
        <v>41</v>
      </c>
      <c r="B63" s="37">
        <v>1</v>
      </c>
      <c r="C63" s="38"/>
      <c r="D63" s="46"/>
      <c r="E63" s="9">
        <v>7.5277551208323636</v>
      </c>
      <c r="F63" s="9">
        <f t="shared" ref="F63:F69" si="45">IF(D63&gt;0,D63,E63-(G63*B$2*1.05)+H63-I63*12.5+J63)</f>
        <v>7.5906019259017574</v>
      </c>
      <c r="G63" s="13">
        <v>0.3248383916323731</v>
      </c>
      <c r="H63" s="5">
        <f t="shared" ref="H63:H69" si="46">G63*B$3*1.05</f>
        <v>0.93797085583847739</v>
      </c>
      <c r="I63" s="14">
        <v>3.9135775526950654E-2</v>
      </c>
      <c r="J63" s="5">
        <f t="shared" ref="J63:J69" si="47">I63*B$4*(1-B$7)+I63*B$6*(B$7)</f>
        <v>0.97839438817376634</v>
      </c>
      <c r="K63" s="5">
        <f t="shared" ref="K63:K69" si="48">F63-H63-J63</f>
        <v>5.6742366818895134</v>
      </c>
      <c r="L63" s="5">
        <f t="shared" ref="L63:L69" si="49">K63*B$12</f>
        <v>1.8724981050235394</v>
      </c>
      <c r="M63" s="5">
        <f t="shared" ref="M63:M69" si="50">K63-L63</f>
        <v>3.8017385768659739</v>
      </c>
      <c r="N63" s="4"/>
      <c r="O63" s="5">
        <f t="shared" ref="O63:O69" si="51">IF(O$14="Increase",IF(C63="y",0,IF($B63&gt;0,H63*$B63*(1+O$15),0)),IF(C63="y",0,IF($B63&gt;0,H63*$B63*(1-O$15),0)))</f>
        <v>1.0786664842142488</v>
      </c>
      <c r="P63" s="5">
        <f t="shared" ref="P63:P69" si="52">IF(P$14="Increase",IF(C63="y",0,IF($B63&gt;0,(I63*B$4*(1-B$7))*$B63*(1+P$15),0)),IF(C63="y",0,IF($B63&gt;0,(I63*B$4*(1-B$7))*$B63*(1-P$15),0)))</f>
        <v>1.1251535463998312</v>
      </c>
      <c r="Q63" s="5">
        <f t="shared" ref="Q63:Q69" si="53">IF(Q$14="Increase",IF(C63="y",0,IF($B63&gt;0,(I63*B$6*(B$7))*$B63*(1+Q$15),0)),IF(C63="y",0,IF($B63&gt;0,(I63*B$6*(B$7))*$B63*(1-Q$15),0)))</f>
        <v>0</v>
      </c>
      <c r="R63" s="5">
        <f t="shared" ref="R63:R69" si="54">IF(R$14="Increase",IF(C63="y",0,IF($B63&gt;0,L63*$B63*(1+R$15),0)),IF(C63="y",0,IF($B63&gt;0,L63*$B63*(1-R$15),0)))</f>
        <v>2.1533728207770704</v>
      </c>
      <c r="S63" s="5">
        <f t="shared" ref="S63:S69" si="55">IF(S$14="Increase",IF(C63="y",0,IF($B63&gt;0,M63*$B63*(1+S$15),0)),IF(C63="y",0,IF($B63&gt;0,M63*$B63*(1-S$15),0)))</f>
        <v>4.3719993633958696</v>
      </c>
      <c r="T63" s="5">
        <f t="shared" ref="T63:T69" si="56">IF(T$14="Increase",IF(C63="y",F63*B63*(1+T$15),0),IF(C63="y",F63*B63*(1-T$15),0))</f>
        <v>0</v>
      </c>
    </row>
    <row r="64" spans="1:21" x14ac:dyDescent="0.25">
      <c r="A64" s="4" t="s">
        <v>42</v>
      </c>
      <c r="B64" s="37"/>
      <c r="C64" s="38"/>
      <c r="D64" s="46"/>
      <c r="E64" s="9"/>
      <c r="F64" s="9">
        <f t="shared" si="45"/>
        <v>8.0223449101978206E-2</v>
      </c>
      <c r="G64" s="13">
        <v>0.41465363511659803</v>
      </c>
      <c r="H64" s="5">
        <f t="shared" si="46"/>
        <v>1.1973123713991767</v>
      </c>
      <c r="I64" s="14">
        <v>4.9956507615401075E-2</v>
      </c>
      <c r="J64" s="5">
        <f t="shared" si="47"/>
        <v>1.2489126903850269</v>
      </c>
      <c r="K64" s="5">
        <f t="shared" si="48"/>
        <v>-2.3660016126822256</v>
      </c>
      <c r="L64" s="5">
        <f t="shared" si="49"/>
        <v>-0.78078053218513455</v>
      </c>
      <c r="M64" s="5">
        <f t="shared" si="50"/>
        <v>-1.585221080497091</v>
      </c>
      <c r="N64" s="4"/>
      <c r="O64" s="5">
        <f t="shared" si="51"/>
        <v>0</v>
      </c>
      <c r="P64" s="5">
        <f t="shared" si="52"/>
        <v>0</v>
      </c>
      <c r="Q64" s="5">
        <f t="shared" si="53"/>
        <v>0</v>
      </c>
      <c r="R64" s="5">
        <f t="shared" si="54"/>
        <v>0</v>
      </c>
      <c r="S64" s="5">
        <f t="shared" si="55"/>
        <v>0</v>
      </c>
      <c r="T64" s="5">
        <f t="shared" si="56"/>
        <v>0</v>
      </c>
    </row>
    <row r="65" spans="1:20" x14ac:dyDescent="0.25">
      <c r="A65" s="4" t="s">
        <v>43</v>
      </c>
      <c r="B65" s="37"/>
      <c r="C65" s="38"/>
      <c r="D65" s="46"/>
      <c r="E65" s="9"/>
      <c r="F65" s="9">
        <f t="shared" si="45"/>
        <v>0.13299129030518841</v>
      </c>
      <c r="G65" s="13">
        <v>0.68739654778235015</v>
      </c>
      <c r="H65" s="5">
        <f t="shared" si="46"/>
        <v>1.9848575317215362</v>
      </c>
      <c r="I65" s="14">
        <v>8.281594074156183E-2</v>
      </c>
      <c r="J65" s="5">
        <f t="shared" si="47"/>
        <v>2.0703985185390459</v>
      </c>
      <c r="K65" s="5">
        <f t="shared" si="48"/>
        <v>-3.9222647599553939</v>
      </c>
      <c r="L65" s="5">
        <f t="shared" si="49"/>
        <v>-1.2943473707852799</v>
      </c>
      <c r="M65" s="5">
        <f t="shared" si="50"/>
        <v>-2.627917389170114</v>
      </c>
      <c r="N65" s="4"/>
      <c r="O65" s="5">
        <f t="shared" si="51"/>
        <v>0</v>
      </c>
      <c r="P65" s="5">
        <f t="shared" si="52"/>
        <v>0</v>
      </c>
      <c r="Q65" s="5">
        <f t="shared" si="53"/>
        <v>0</v>
      </c>
      <c r="R65" s="5">
        <f t="shared" si="54"/>
        <v>0</v>
      </c>
      <c r="S65" s="5">
        <f t="shared" si="55"/>
        <v>0</v>
      </c>
      <c r="T65" s="5">
        <f t="shared" si="56"/>
        <v>0</v>
      </c>
    </row>
    <row r="66" spans="1:20" x14ac:dyDescent="0.25">
      <c r="A66" s="4" t="s">
        <v>44</v>
      </c>
      <c r="B66" s="37"/>
      <c r="C66" s="38"/>
      <c r="D66" s="46"/>
      <c r="E66" s="9"/>
      <c r="F66" s="9">
        <f t="shared" si="45"/>
        <v>7.673281047693048E-2</v>
      </c>
      <c r="G66" s="13">
        <v>0.39661145404663922</v>
      </c>
      <c r="H66" s="5">
        <f t="shared" si="46"/>
        <v>1.1452155735596707</v>
      </c>
      <c r="I66" s="14">
        <v>4.778282751305156E-2</v>
      </c>
      <c r="J66" s="5">
        <f t="shared" si="47"/>
        <v>1.1945706878262889</v>
      </c>
      <c r="K66" s="5">
        <f t="shared" si="48"/>
        <v>-2.2630534509090294</v>
      </c>
      <c r="L66" s="5">
        <f t="shared" si="49"/>
        <v>-0.7468076387999798</v>
      </c>
      <c r="M66" s="5">
        <f t="shared" si="50"/>
        <v>-1.5162458121090496</v>
      </c>
      <c r="N66" s="4"/>
      <c r="O66" s="5">
        <f t="shared" si="51"/>
        <v>0</v>
      </c>
      <c r="P66" s="5">
        <f t="shared" si="52"/>
        <v>0</v>
      </c>
      <c r="Q66" s="5">
        <f t="shared" si="53"/>
        <v>0</v>
      </c>
      <c r="R66" s="5">
        <f t="shared" si="54"/>
        <v>0</v>
      </c>
      <c r="S66" s="5">
        <f t="shared" si="55"/>
        <v>0</v>
      </c>
      <c r="T66" s="5">
        <f t="shared" si="56"/>
        <v>0</v>
      </c>
    </row>
    <row r="67" spans="1:20" x14ac:dyDescent="0.25">
      <c r="A67" s="4" t="s">
        <v>45</v>
      </c>
      <c r="B67" s="37"/>
      <c r="C67" s="38"/>
      <c r="D67" s="46"/>
      <c r="E67" s="9"/>
      <c r="F67" s="9">
        <f t="shared" si="45"/>
        <v>0.13393029250841737</v>
      </c>
      <c r="G67" s="13">
        <v>0.69225000000000003</v>
      </c>
      <c r="H67" s="5">
        <f t="shared" si="46"/>
        <v>1.9988718750000003</v>
      </c>
      <c r="I67" s="14">
        <v>8.3400673400673392E-2</v>
      </c>
      <c r="J67" s="5">
        <f t="shared" si="47"/>
        <v>2.0850168350168348</v>
      </c>
      <c r="K67" s="5">
        <f t="shared" si="48"/>
        <v>-3.9499584175084177</v>
      </c>
      <c r="L67" s="5">
        <f t="shared" si="49"/>
        <v>-1.3034862777777778</v>
      </c>
      <c r="M67" s="5">
        <f t="shared" si="50"/>
        <v>-2.6464721397306397</v>
      </c>
      <c r="N67" s="4"/>
      <c r="O67" s="5">
        <f t="shared" si="51"/>
        <v>0</v>
      </c>
      <c r="P67" s="5">
        <f t="shared" si="52"/>
        <v>0</v>
      </c>
      <c r="Q67" s="5">
        <f t="shared" si="53"/>
        <v>0</v>
      </c>
      <c r="R67" s="5">
        <f t="shared" si="54"/>
        <v>0</v>
      </c>
      <c r="S67" s="5">
        <f t="shared" si="55"/>
        <v>0</v>
      </c>
      <c r="T67" s="5">
        <f t="shared" si="56"/>
        <v>0</v>
      </c>
    </row>
    <row r="68" spans="1:20" x14ac:dyDescent="0.25">
      <c r="A68" s="4" t="s">
        <v>46</v>
      </c>
      <c r="B68" s="37"/>
      <c r="C68" s="38"/>
      <c r="D68" s="46"/>
      <c r="E68" s="9"/>
      <c r="F68" s="9">
        <f t="shared" si="45"/>
        <v>8.6117729236379503E-2</v>
      </c>
      <c r="G68" s="13">
        <v>0.44511959876543206</v>
      </c>
      <c r="H68" s="5">
        <f t="shared" si="46"/>
        <v>1.2852828414351851</v>
      </c>
      <c r="I68" s="14">
        <v>5.3626976209280725E-2</v>
      </c>
      <c r="J68" s="5">
        <f t="shared" si="47"/>
        <v>1.3406744052320181</v>
      </c>
      <c r="K68" s="5">
        <f t="shared" si="48"/>
        <v>-2.5398395174308237</v>
      </c>
      <c r="L68" s="5">
        <f t="shared" si="49"/>
        <v>-0.83814704075217183</v>
      </c>
      <c r="M68" s="5">
        <f t="shared" si="50"/>
        <v>-1.7016924766786519</v>
      </c>
      <c r="N68" s="4"/>
      <c r="O68" s="5">
        <f t="shared" si="51"/>
        <v>0</v>
      </c>
      <c r="P68" s="5">
        <f t="shared" si="52"/>
        <v>0</v>
      </c>
      <c r="Q68" s="5">
        <f t="shared" si="53"/>
        <v>0</v>
      </c>
      <c r="R68" s="5">
        <f t="shared" si="54"/>
        <v>0</v>
      </c>
      <c r="S68" s="5">
        <f t="shared" si="55"/>
        <v>0</v>
      </c>
      <c r="T68" s="5">
        <f t="shared" si="56"/>
        <v>0</v>
      </c>
    </row>
    <row r="69" spans="1:20" x14ac:dyDescent="0.25">
      <c r="A69" s="4" t="s">
        <v>47</v>
      </c>
      <c r="B69" s="37"/>
      <c r="C69" s="38"/>
      <c r="D69" s="46"/>
      <c r="E69" s="9"/>
      <c r="F69" s="9">
        <f t="shared" si="45"/>
        <v>0.2151029503593116</v>
      </c>
      <c r="G69" s="13">
        <v>1.1118098422496572</v>
      </c>
      <c r="H69" s="5">
        <f t="shared" si="46"/>
        <v>3.2103509194958852</v>
      </c>
      <c r="I69" s="14">
        <v>0.13394826946495897</v>
      </c>
      <c r="J69" s="5">
        <f t="shared" si="47"/>
        <v>3.3487067366239742</v>
      </c>
      <c r="K69" s="5">
        <f t="shared" si="48"/>
        <v>-6.3439547057605479</v>
      </c>
      <c r="L69" s="5">
        <f t="shared" si="49"/>
        <v>-2.0935050529009809</v>
      </c>
      <c r="M69" s="5">
        <f t="shared" si="50"/>
        <v>-4.250449652859567</v>
      </c>
      <c r="N69" s="4"/>
      <c r="O69" s="5">
        <f t="shared" si="51"/>
        <v>0</v>
      </c>
      <c r="P69" s="5">
        <f t="shared" si="52"/>
        <v>0</v>
      </c>
      <c r="Q69" s="5">
        <f t="shared" si="53"/>
        <v>0</v>
      </c>
      <c r="R69" s="5">
        <f t="shared" si="54"/>
        <v>0</v>
      </c>
      <c r="S69" s="5">
        <f t="shared" si="55"/>
        <v>0</v>
      </c>
      <c r="T69" s="5">
        <f t="shared" si="56"/>
        <v>0</v>
      </c>
    </row>
    <row r="70" spans="1:20" x14ac:dyDescent="0.25">
      <c r="A70" s="4"/>
      <c r="B70" s="37"/>
      <c r="C70" s="38"/>
      <c r="D70" s="46"/>
      <c r="E70" s="9"/>
      <c r="F70" s="9"/>
      <c r="G70" s="4"/>
      <c r="H70" s="4"/>
      <c r="I70" s="4"/>
      <c r="J70" s="4"/>
      <c r="K70" s="4"/>
      <c r="L70" s="4"/>
      <c r="M70" s="4"/>
      <c r="N70" s="4"/>
      <c r="O70" s="4"/>
      <c r="P70" s="4"/>
      <c r="Q70" s="4"/>
      <c r="R70" s="4"/>
      <c r="S70" s="4"/>
      <c r="T70" s="4"/>
    </row>
    <row r="71" spans="1:20" x14ac:dyDescent="0.25">
      <c r="A71" s="12" t="s">
        <v>48</v>
      </c>
      <c r="B71" s="37"/>
      <c r="C71" s="38"/>
      <c r="D71" s="46"/>
      <c r="E71" s="9"/>
      <c r="F71" s="9"/>
      <c r="G71" s="4"/>
      <c r="H71" s="4"/>
      <c r="I71" s="4"/>
      <c r="J71" s="4"/>
      <c r="K71" s="4"/>
      <c r="L71" s="4"/>
      <c r="M71" s="4"/>
      <c r="N71" s="4"/>
      <c r="O71" s="4"/>
      <c r="P71" s="4"/>
      <c r="Q71" s="4"/>
      <c r="R71" s="4"/>
      <c r="S71" s="4"/>
      <c r="T71" s="4"/>
    </row>
    <row r="72" spans="1:20" x14ac:dyDescent="0.25">
      <c r="A72" s="4" t="s">
        <v>49</v>
      </c>
      <c r="B72" s="37">
        <v>2</v>
      </c>
      <c r="C72" s="38"/>
      <c r="D72" s="46"/>
      <c r="E72" s="9">
        <v>8.5532319481546608</v>
      </c>
      <c r="F72" s="9">
        <f>IF(D72&gt;0,D72,E72-(G72*B$2*1.05)+H72-I72*12.5+J72)</f>
        <v>8.7730288231546609</v>
      </c>
      <c r="G72" s="13">
        <v>0.11825000000000001</v>
      </c>
      <c r="H72" s="5">
        <f>G72*B$3*1.05</f>
        <v>0.34144687500000004</v>
      </c>
      <c r="I72" s="14">
        <v>0.03</v>
      </c>
      <c r="J72" s="5">
        <f>I72*B$4*(1-B$7)+I72*B$6*(B$7)</f>
        <v>0.75</v>
      </c>
      <c r="K72" s="5">
        <f>F72-H72-J72</f>
        <v>7.6815819481546601</v>
      </c>
      <c r="L72" s="5">
        <f>K72*B$12</f>
        <v>2.5349220428910382</v>
      </c>
      <c r="M72" s="5">
        <f>K72-L72</f>
        <v>5.1466599052636219</v>
      </c>
      <c r="N72" s="4"/>
      <c r="O72" s="5">
        <f>IF(O$14="Increase",IF(C72="y",0,IF($B72&gt;0,H72*$B72*(1+O$15),0)),IF(C72="y",0,IF($B72&gt;0,H72*$B72*(1-O$15),0)))</f>
        <v>0.78532781250000006</v>
      </c>
      <c r="P72" s="5">
        <f>IF(P$14="Increase",IF(C72="y",0,IF($B72&gt;0,(I72*B$4*(1-B$7))*$B72*(1+P$15),0)),IF(C72="y",0,IF($B72&gt;0,(I72*B$4*(1-B$7))*$B72*(1-P$15),0)))</f>
        <v>1.7249999999999999</v>
      </c>
      <c r="Q72" s="5">
        <f>IF(Q$14="Increase",IF(C72="y",0,IF($B72&gt;0,(I72*B$6*(B$7))*$B72*(1+Q$15),0)),IF(C72="y",0,IF($B72&gt;0,(I72*B$6*(B$7))*$B72*(1-Q$15),0)))</f>
        <v>0</v>
      </c>
      <c r="R72" s="5">
        <f>IF(R$14="Increase",IF(C72="y",0,IF($B72&gt;0,L72*$B72*(1+R$15),0)),IF(C72="y",0,IF($B72&gt;0,L72*$B72*(1-R$15),0)))</f>
        <v>5.8303206986493876</v>
      </c>
      <c r="S72" s="5">
        <f>IF(S$14="Increase",IF(C72="y",0,IF($B72&gt;0,M72*$B72*(1+S$15),0)),IF(C72="y",0,IF($B72&gt;0,M72*$B72*(1-S$15),0)))</f>
        <v>11.837317782106329</v>
      </c>
      <c r="T72" s="5">
        <f>IF(T$14="Increase",IF(C72="y",F72*B72*(1+T$15),0),IF(C72="y",F72*B72*(1-T$15),0))</f>
        <v>0</v>
      </c>
    </row>
    <row r="73" spans="1:20" x14ac:dyDescent="0.25">
      <c r="A73" s="4" t="s">
        <v>50</v>
      </c>
      <c r="B73" s="37"/>
      <c r="C73" s="38"/>
      <c r="D73" s="46"/>
      <c r="E73" s="9"/>
      <c r="F73" s="9">
        <f>IF(D73&gt;0,D73,E73-(G73*B$2*1.05)+H73-I73*12.5+J73)</f>
        <v>0.40978587962962953</v>
      </c>
      <c r="G73" s="13">
        <v>0.16750000000000001</v>
      </c>
      <c r="H73" s="5">
        <f>G73*B$3*1.05</f>
        <v>0.48365625000000001</v>
      </c>
      <c r="I73" s="14">
        <v>5.0370370370370371E-2</v>
      </c>
      <c r="J73" s="5">
        <f>I73*B$4*(1-B$7)+I73*B$6*(B$7)</f>
        <v>1.2592592592592593</v>
      </c>
      <c r="K73" s="5">
        <f>F73-H73-J73</f>
        <v>-1.3331296296296298</v>
      </c>
      <c r="L73" s="5">
        <f>K73*B$12</f>
        <v>-0.43993277777777784</v>
      </c>
      <c r="M73" s="5">
        <f>K73-L73</f>
        <v>-0.89319685185185194</v>
      </c>
      <c r="N73" s="4"/>
      <c r="O73" s="5">
        <f>IF(O$14="Increase",IF(C73="y",0,IF($B73&gt;0,H73*$B73*(1+O$15),0)),IF(C73="y",0,IF($B73&gt;0,H73*$B73*(1-O$15),0)))</f>
        <v>0</v>
      </c>
      <c r="P73" s="5">
        <f>IF(P$14="Increase",IF(C73="y",0,IF($B73&gt;0,(I73*B$4*(1-B$7))*$B73*(1+P$15),0)),IF(C73="y",0,IF($B73&gt;0,(I73*B$4*(1-B$7))*$B73*(1-P$15),0)))</f>
        <v>0</v>
      </c>
      <c r="Q73" s="5">
        <f>IF(Q$14="Increase",IF(C73="y",0,IF($B73&gt;0,(I73*B$6*(B$7))*$B73*(1+Q$15),0)),IF(C73="y",0,IF($B73&gt;0,(I73*B$6*(B$7))*$B73*(1-Q$15),0)))</f>
        <v>0</v>
      </c>
      <c r="R73" s="5">
        <f>IF(R$14="Increase",IF(C73="y",0,IF($B73&gt;0,L73*$B73*(1+R$15),0)),IF(C73="y",0,IF($B73&gt;0,L73*$B73*(1-R$15),0)))</f>
        <v>0</v>
      </c>
      <c r="S73" s="5">
        <f>IF(S$14="Increase",IF(C73="y",0,IF($B73&gt;0,M73*$B73*(1+S$15),0)),IF(C73="y",0,IF($B73&gt;0,M73*$B73*(1-S$15),0)))</f>
        <v>0</v>
      </c>
      <c r="T73" s="5">
        <f>IF(T$14="Increase",IF(C73="y",F73*B73*(1+T$15),0),IF(C73="y",F73*B73*(1-T$15),0))</f>
        <v>0</v>
      </c>
    </row>
    <row r="74" spans="1:20" x14ac:dyDescent="0.25">
      <c r="A74" s="4" t="s">
        <v>51</v>
      </c>
      <c r="B74" s="37"/>
      <c r="C74" s="38"/>
      <c r="D74" s="46"/>
      <c r="E74" s="9"/>
      <c r="F74" s="9">
        <f>IF(D74&gt;0,D74,E74-(G74*B$2*1.05)+H74-I74*12.5+J74)</f>
        <v>4.0810185185185144E-2</v>
      </c>
      <c r="G74" s="13">
        <v>0.11</v>
      </c>
      <c r="H74" s="5">
        <f>G74*B$3*1.05</f>
        <v>0.31762499999999999</v>
      </c>
      <c r="I74" s="14">
        <v>1.4814814814814815E-2</v>
      </c>
      <c r="J74" s="5">
        <f>I74*B$4*(1-B$7)+I74*B$6*(B$7)</f>
        <v>0.37037037037037041</v>
      </c>
      <c r="K74" s="5">
        <f>F74-H74-J74</f>
        <v>-0.64718518518518531</v>
      </c>
      <c r="L74" s="5">
        <f>K74*B$12</f>
        <v>-0.21357111111111116</v>
      </c>
      <c r="M74" s="5">
        <f>K74-L74</f>
        <v>-0.43361407407407415</v>
      </c>
      <c r="N74" s="4"/>
      <c r="O74" s="5">
        <f>IF(O$14="Increase",IF(C74="y",0,IF($B74&gt;0,H74*$B74*(1+O$15),0)),IF(C74="y",0,IF($B74&gt;0,H74*$B74*(1-O$15),0)))</f>
        <v>0</v>
      </c>
      <c r="P74" s="5">
        <f>IF(P$14="Increase",IF(C74="y",0,IF($B74&gt;0,(I74*B$4*(1-B$7))*$B74*(1+P$15),0)),IF(C74="y",0,IF($B74&gt;0,(I74*B$4*(1-B$7))*$B74*(1-P$15),0)))</f>
        <v>0</v>
      </c>
      <c r="Q74" s="5">
        <f>IF(Q$14="Increase",IF(C74="y",0,IF($B74&gt;0,(I74*B$6*(B$7))*$B74*(1+Q$15),0)),IF(C74="y",0,IF($B74&gt;0,(I74*B$6*(B$7))*$B74*(1-Q$15),0)))</f>
        <v>0</v>
      </c>
      <c r="R74" s="5">
        <f>IF(R$14="Increase",IF(C74="y",0,IF($B74&gt;0,L74*$B74*(1+R$15),0)),IF(C74="y",0,IF($B74&gt;0,L74*$B74*(1-R$15),0)))</f>
        <v>0</v>
      </c>
      <c r="S74" s="5">
        <f>IF(S$14="Increase",IF(C74="y",0,IF($B74&gt;0,M74*$B74*(1+S$15),0)),IF(C74="y",0,IF($B74&gt;0,M74*$B74*(1-S$15),0)))</f>
        <v>0</v>
      </c>
      <c r="T74" s="5">
        <f>IF(T$14="Increase",IF(C74="y",F74*B74*(1+T$15),0),IF(C74="y",F74*B74*(1-T$15),0))</f>
        <v>0</v>
      </c>
    </row>
    <row r="75" spans="1:20" x14ac:dyDescent="0.25">
      <c r="A75" s="4"/>
      <c r="B75" s="37"/>
      <c r="C75" s="38"/>
      <c r="D75" s="46"/>
      <c r="E75" s="9"/>
      <c r="F75" s="9"/>
      <c r="G75" s="4"/>
      <c r="H75" s="4"/>
      <c r="I75" s="4"/>
      <c r="J75" s="4"/>
      <c r="K75" s="4"/>
      <c r="L75" s="4"/>
      <c r="M75" s="4"/>
      <c r="N75" s="4"/>
      <c r="O75" s="4"/>
      <c r="P75" s="4"/>
      <c r="Q75" s="4"/>
      <c r="R75" s="4"/>
      <c r="S75" s="4"/>
      <c r="T75" s="4"/>
    </row>
    <row r="76" spans="1:20" x14ac:dyDescent="0.25">
      <c r="A76" s="12" t="s">
        <v>52</v>
      </c>
      <c r="B76" s="37"/>
      <c r="C76" s="38"/>
      <c r="D76" s="46"/>
      <c r="E76" s="9"/>
      <c r="F76" s="9"/>
      <c r="G76" s="4"/>
      <c r="H76" s="4"/>
      <c r="I76" s="4"/>
      <c r="J76" s="4"/>
      <c r="K76" s="4"/>
      <c r="L76" s="4"/>
      <c r="M76" s="4"/>
      <c r="N76" s="4"/>
      <c r="O76" s="4"/>
      <c r="P76" s="4"/>
      <c r="Q76" s="4"/>
      <c r="R76" s="4"/>
      <c r="S76" s="4"/>
      <c r="T76" s="4"/>
    </row>
    <row r="77" spans="1:20" x14ac:dyDescent="0.25">
      <c r="A77" s="4" t="s">
        <v>53</v>
      </c>
      <c r="B77" s="37"/>
      <c r="C77" s="38"/>
      <c r="D77" s="46"/>
      <c r="E77" s="9"/>
      <c r="F77" s="9">
        <f>IF(D77&gt;0,D77,E77-(G77*B$2*1.05)+H77-I77*12.5+J77)</f>
        <v>0.12907523148148137</v>
      </c>
      <c r="G77" s="13">
        <v>0.26850000000000002</v>
      </c>
      <c r="H77" s="5">
        <f>G77*B$3*1.05</f>
        <v>0.77529375</v>
      </c>
      <c r="I77" s="14">
        <v>3.8518518518518521E-2</v>
      </c>
      <c r="J77" s="5">
        <f>I77*B$4*(1-B$7)+I77*B$6*(B$7)</f>
        <v>0.96296296296296302</v>
      </c>
      <c r="K77" s="5">
        <f>F77-H77-J77</f>
        <v>-1.6091814814814818</v>
      </c>
      <c r="L77" s="5">
        <f>K77*B$12</f>
        <v>-0.53102988888888902</v>
      </c>
      <c r="M77" s="5">
        <f>K77-L77</f>
        <v>-1.0781515925925929</v>
      </c>
      <c r="N77" s="4"/>
      <c r="O77" s="5">
        <f>IF(O$14="Increase",IF(C77="y",0,IF($B77&gt;0,H77*$B77*(1+O$15),0)),IF(C77="y",0,IF($B77&gt;0,H77*$B77*(1-O$15),0)))</f>
        <v>0</v>
      </c>
      <c r="P77" s="5">
        <f>IF(P$14="Increase",IF(C77="y",0,IF($B77&gt;0,(I77*B$4*(1-B$7))*$B77*(1+P$15),0)),IF(C77="y",0,IF($B77&gt;0,(I77*B$4*(1-B$7))*$B77*(1-P$15),0)))</f>
        <v>0</v>
      </c>
      <c r="Q77" s="5">
        <f>IF(Q$14="Increase",IF(C77="y",0,IF($B77&gt;0,(I77*B$6*(B$7))*$B77*(1+Q$15),0)),IF(C77="y",0,IF($B77&gt;0,(I77*B$6*(B$7))*$B77*(1-Q$15),0)))</f>
        <v>0</v>
      </c>
      <c r="R77" s="5">
        <f>IF(R$14="Increase",IF(C77="y",0,IF($B77&gt;0,L77*$B77*(1+R$15),0)),IF(C77="y",0,IF($B77&gt;0,L77*$B77*(1-R$15),0)))</f>
        <v>0</v>
      </c>
      <c r="S77" s="5">
        <f>IF(S$14="Increase",IF(C77="y",0,IF($B77&gt;0,M77*$B77*(1+S$15),0)),IF(C77="y",0,IF($B77&gt;0,M77*$B77*(1-S$15),0)))</f>
        <v>0</v>
      </c>
      <c r="T77" s="5">
        <f>IF(T$14="Increase",IF(C77="y",F77*B77*(1+T$15),0),IF(C77="y",F77*B77*(1-T$15),0))</f>
        <v>0</v>
      </c>
    </row>
    <row r="78" spans="1:20" x14ac:dyDescent="0.25">
      <c r="A78" s="4" t="s">
        <v>54</v>
      </c>
      <c r="B78" s="37"/>
      <c r="C78" s="38"/>
      <c r="D78" s="46"/>
      <c r="E78" s="9"/>
      <c r="F78" s="9">
        <f>IF(D78&gt;0,D78,E78-(G78*B$2*1.05)+H78-I78*12.5+J78)</f>
        <v>0.367395622895623</v>
      </c>
      <c r="G78" s="13">
        <v>0.52800000000000002</v>
      </c>
      <c r="H78" s="5">
        <f>G78*B$3*1.05</f>
        <v>1.5246</v>
      </c>
      <c r="I78" s="14">
        <v>8.4831649831649841E-2</v>
      </c>
      <c r="J78" s="5">
        <f>I78*B$4*(1-B$7)+I78*B$6*(B$7)</f>
        <v>2.1207912457912461</v>
      </c>
      <c r="K78" s="5">
        <f>F78-H78-J78</f>
        <v>-3.2779956228956229</v>
      </c>
      <c r="L78" s="5">
        <f>K78*B$12</f>
        <v>-1.0817385555555556</v>
      </c>
      <c r="M78" s="5">
        <f>K78-L78</f>
        <v>-2.196257067340067</v>
      </c>
      <c r="N78" s="4"/>
      <c r="O78" s="5">
        <f>IF(O$14="Increase",IF(C78="y",0,IF($B78&gt;0,H78*$B78*(1+O$15),0)),IF(C78="y",0,IF($B78&gt;0,H78*$B78*(1-O$15),0)))</f>
        <v>0</v>
      </c>
      <c r="P78" s="5">
        <f>IF(P$14="Increase",IF(C78="y",0,IF($B78&gt;0,(I78*B$4*(1-B$7))*$B78*(1+P$15),0)),IF(C78="y",0,IF($B78&gt;0,(I78*B$4*(1-B$7))*$B78*(1-P$15),0)))</f>
        <v>0</v>
      </c>
      <c r="Q78" s="5">
        <f>IF(Q$14="Increase",IF(C78="y",0,IF($B78&gt;0,(I78*B$6*(B$7))*$B78*(1+Q$15),0)),IF(C78="y",0,IF($B78&gt;0,(I78*B$6*(B$7))*$B78*(1-Q$15),0)))</f>
        <v>0</v>
      </c>
      <c r="R78" s="5">
        <f>IF(R$14="Increase",IF(C78="y",0,IF($B78&gt;0,L78*$B78*(1+R$15),0)),IF(C78="y",0,IF($B78&gt;0,L78*$B78*(1-R$15),0)))</f>
        <v>0</v>
      </c>
      <c r="S78" s="5">
        <f>IF(S$14="Increase",IF(C78="y",0,IF($B78&gt;0,M78*$B78*(1+S$15),0)),IF(C78="y",0,IF($B78&gt;0,M78*$B78*(1-S$15),0)))</f>
        <v>0</v>
      </c>
      <c r="T78" s="5">
        <f>IF(T$14="Increase",IF(C78="y",F78*B78*(1+T$15),0),IF(C78="y",F78*B78*(1-T$15),0))</f>
        <v>0</v>
      </c>
    </row>
    <row r="79" spans="1:20" x14ac:dyDescent="0.25">
      <c r="A79" s="20" t="s">
        <v>93</v>
      </c>
      <c r="B79" s="35"/>
      <c r="C79" s="36"/>
      <c r="D79" s="48"/>
      <c r="E79" s="4"/>
      <c r="F79" s="4"/>
      <c r="G79" s="4"/>
      <c r="H79" s="4"/>
      <c r="I79" s="4"/>
      <c r="J79" s="4"/>
      <c r="K79" s="4"/>
      <c r="L79" s="4"/>
      <c r="M79" s="4"/>
      <c r="N79" s="4"/>
      <c r="O79" s="22">
        <f t="shared" ref="O79:T79" si="57">SUM(O19:O78)</f>
        <v>16.217121788490562</v>
      </c>
      <c r="P79" s="22">
        <f>SUM(P19:P78)+B14*(1-B7)*B4</f>
        <v>36.397716899226339</v>
      </c>
      <c r="Q79" s="22">
        <f>SUM(Q19:Q78)+B14*B7*B6</f>
        <v>0</v>
      </c>
      <c r="R79" s="22">
        <f t="shared" si="57"/>
        <v>28.844325367405368</v>
      </c>
      <c r="S79" s="22">
        <f>SUM(S19:S78)-(B14*(1-B7)*B4+B14*B7*B6)</f>
        <v>39.812721200489676</v>
      </c>
      <c r="T79" s="22">
        <f t="shared" si="57"/>
        <v>0</v>
      </c>
    </row>
    <row r="80" spans="1:20" s="11" customFormat="1" x14ac:dyDescent="0.25">
      <c r="A80" s="20" t="s">
        <v>142</v>
      </c>
      <c r="B80" s="35"/>
      <c r="C80" s="36"/>
      <c r="D80" s="48"/>
      <c r="E80" s="20"/>
      <c r="F80" s="20"/>
      <c r="G80" s="20"/>
      <c r="H80" s="20"/>
      <c r="I80" s="20"/>
      <c r="J80" s="20"/>
      <c r="K80" s="20"/>
      <c r="L80" s="20"/>
      <c r="M80" s="20"/>
      <c r="N80" s="20"/>
      <c r="O80" s="22">
        <f>O79 - (O79/$T81)*'No-Till Soybeans'!$I24</f>
        <v>16.217121788490562</v>
      </c>
      <c r="P80" s="22">
        <f>P79 - (P79/$T81)*'No-Till Soybeans'!$I24</f>
        <v>36.397716899226339</v>
      </c>
      <c r="Q80" s="22">
        <f>Q79 - (Q79/$T81)*'No-Till Soybeans'!$I24</f>
        <v>0</v>
      </c>
      <c r="R80" s="22">
        <f>R79 - (R79/$T81)*'No-Till Soybeans'!$I24</f>
        <v>28.844325367405368</v>
      </c>
      <c r="S80" s="22">
        <f>S79 - (S79/$T81)*'No-Till Soybeans'!$I24</f>
        <v>39.812721200489676</v>
      </c>
      <c r="T80" s="22">
        <f>'No-Till Soybeans'!I24</f>
        <v>0</v>
      </c>
    </row>
    <row r="81" spans="15:20" x14ac:dyDescent="0.25">
      <c r="T81" s="10">
        <f>SUM(O79:T79)</f>
        <v>121.27188525561195</v>
      </c>
    </row>
    <row r="82" spans="15:20" x14ac:dyDescent="0.25">
      <c r="T82" s="10">
        <f>SUM(O80:T80)</f>
        <v>121.27188525561195</v>
      </c>
    </row>
    <row r="83" spans="15:20" x14ac:dyDescent="0.25">
      <c r="T83" s="10"/>
    </row>
    <row r="84" spans="15:20" x14ac:dyDescent="0.25">
      <c r="T84" s="10"/>
    </row>
    <row r="87" spans="15:20" x14ac:dyDescent="0.25">
      <c r="O87" t="s">
        <v>89</v>
      </c>
    </row>
    <row r="88" spans="15:20" x14ac:dyDescent="0.25">
      <c r="O88" t="s">
        <v>90</v>
      </c>
    </row>
  </sheetData>
  <mergeCells count="18">
    <mergeCell ref="A55:B55"/>
    <mergeCell ref="E12:T12"/>
    <mergeCell ref="O13:T13"/>
    <mergeCell ref="E8:T8"/>
    <mergeCell ref="E2:T2"/>
    <mergeCell ref="E3:T3"/>
    <mergeCell ref="E11:T11"/>
    <mergeCell ref="E4:T4"/>
    <mergeCell ref="A11:D11"/>
    <mergeCell ref="E9:T9"/>
    <mergeCell ref="E10:T10"/>
    <mergeCell ref="A1:T1"/>
    <mergeCell ref="E13:N15"/>
    <mergeCell ref="E5:T5"/>
    <mergeCell ref="E6:T6"/>
    <mergeCell ref="E7:T7"/>
    <mergeCell ref="A9:D9"/>
    <mergeCell ref="A10:D10"/>
  </mergeCells>
  <phoneticPr fontId="0" type="noConversion"/>
  <dataValidations count="1">
    <dataValidation type="list" allowBlank="1" showInputMessage="1" showErrorMessage="1" sqref="O14:T14" xr:uid="{00000000-0002-0000-0900-000000000000}">
      <formula1>$O$87:$O$88</formula1>
    </dataValidation>
  </dataValidations>
  <pageMargins left="0.75" right="0.75" top="1" bottom="1" header="0.5" footer="0.5"/>
  <pageSetup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24"/>
  <sheetViews>
    <sheetView workbookViewId="0">
      <selection activeCell="A22" sqref="A22"/>
    </sheetView>
  </sheetViews>
  <sheetFormatPr defaultRowHeight="13.2" x14ac:dyDescent="0.25"/>
  <cols>
    <col min="1" max="1" width="13.5546875" customWidth="1"/>
  </cols>
  <sheetData>
    <row r="2" spans="1:1" ht="21" x14ac:dyDescent="0.4">
      <c r="A2" s="24" t="s">
        <v>56</v>
      </c>
    </row>
    <row r="3" spans="1:1" x14ac:dyDescent="0.25">
      <c r="A3" s="21"/>
    </row>
    <row r="4" spans="1:1" x14ac:dyDescent="0.25">
      <c r="A4" s="21" t="s">
        <v>94</v>
      </c>
    </row>
    <row r="5" spans="1:1" x14ac:dyDescent="0.25">
      <c r="A5" s="21"/>
    </row>
    <row r="6" spans="1:1" x14ac:dyDescent="0.25">
      <c r="A6" s="21" t="s">
        <v>87</v>
      </c>
    </row>
    <row r="7" spans="1:1" x14ac:dyDescent="0.25">
      <c r="A7" s="21"/>
    </row>
    <row r="8" spans="1:1" x14ac:dyDescent="0.25">
      <c r="A8" s="21" t="s">
        <v>105</v>
      </c>
    </row>
    <row r="9" spans="1:1" x14ac:dyDescent="0.25">
      <c r="A9" s="21"/>
    </row>
    <row r="10" spans="1:1" x14ac:dyDescent="0.25">
      <c r="A10" s="21"/>
    </row>
    <row r="11" spans="1:1" x14ac:dyDescent="0.25">
      <c r="A11" s="21"/>
    </row>
    <row r="12" spans="1:1" ht="21" x14ac:dyDescent="0.4">
      <c r="A12" s="24" t="s">
        <v>82</v>
      </c>
    </row>
    <row r="15" spans="1:1" x14ac:dyDescent="0.25">
      <c r="A15" s="21" t="s">
        <v>102</v>
      </c>
    </row>
    <row r="16" spans="1:1" x14ac:dyDescent="0.25">
      <c r="A16" s="21" t="s">
        <v>103</v>
      </c>
    </row>
    <row r="17" spans="1:2" x14ac:dyDescent="0.25">
      <c r="A17" s="21" t="s">
        <v>104</v>
      </c>
    </row>
    <row r="18" spans="1:2" x14ac:dyDescent="0.25">
      <c r="B18" s="2"/>
    </row>
    <row r="19" spans="1:2" x14ac:dyDescent="0.25">
      <c r="A19" s="21" t="s">
        <v>126</v>
      </c>
    </row>
    <row r="20" spans="1:2" x14ac:dyDescent="0.25">
      <c r="B20" s="2"/>
    </row>
    <row r="21" spans="1:2" x14ac:dyDescent="0.25">
      <c r="A21" s="21" t="s">
        <v>155</v>
      </c>
      <c r="B21" s="2"/>
    </row>
    <row r="22" spans="1:2" x14ac:dyDescent="0.25">
      <c r="B22" s="2"/>
    </row>
    <row r="23" spans="1:2" x14ac:dyDescent="0.25">
      <c r="B23" s="2"/>
    </row>
    <row r="24" spans="1:2" x14ac:dyDescent="0.25">
      <c r="B24" s="2"/>
    </row>
  </sheetData>
  <phoneticPr fontId="6"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0"/>
  <sheetViews>
    <sheetView showGridLines="0" zoomScale="122" workbookViewId="0">
      <selection activeCell="B6" sqref="B6"/>
    </sheetView>
  </sheetViews>
  <sheetFormatPr defaultRowHeight="13.2" x14ac:dyDescent="0.25"/>
  <cols>
    <col min="1" max="1" width="2.33203125" customWidth="1"/>
    <col min="2" max="2" width="107.44140625" style="25" customWidth="1"/>
  </cols>
  <sheetData>
    <row r="1" spans="2:2" ht="10.199999999999999" customHeight="1" x14ac:dyDescent="0.25"/>
    <row r="2" spans="2:2" ht="28.95" customHeight="1" x14ac:dyDescent="0.25">
      <c r="B2" s="111" t="s">
        <v>238</v>
      </c>
    </row>
    <row r="3" spans="2:2" ht="16.95" customHeight="1" x14ac:dyDescent="0.25">
      <c r="B3" s="56" t="s">
        <v>235</v>
      </c>
    </row>
    <row r="4" spans="2:2" ht="14.4" customHeight="1" x14ac:dyDescent="0.25">
      <c r="B4" s="56" t="s">
        <v>157</v>
      </c>
    </row>
    <row r="5" spans="2:2" ht="17.399999999999999" customHeight="1" x14ac:dyDescent="0.25">
      <c r="B5" s="112" t="s">
        <v>147</v>
      </c>
    </row>
    <row r="6" spans="2:2" ht="83.4" customHeight="1" x14ac:dyDescent="0.25">
      <c r="B6" s="56" t="s">
        <v>205</v>
      </c>
    </row>
    <row r="7" spans="2:2" ht="54" customHeight="1" x14ac:dyDescent="0.25">
      <c r="B7" s="56" t="s">
        <v>206</v>
      </c>
    </row>
    <row r="8" spans="2:2" ht="53.4" customHeight="1" x14ac:dyDescent="0.25">
      <c r="B8" s="56" t="s">
        <v>207</v>
      </c>
    </row>
    <row r="9" spans="2:2" ht="45.6" customHeight="1" x14ac:dyDescent="0.25">
      <c r="B9" s="56" t="s">
        <v>208</v>
      </c>
    </row>
    <row r="10" spans="2:2" x14ac:dyDescent="0.25">
      <c r="B10" s="57"/>
    </row>
  </sheetData>
  <sheetProtection algorithmName="SHA-512" hashValue="StjINPxBdOMDv45n+M4tIKz/xQBfkC5bpA1jhP5G//cACXHjzG63sPpaEz6VD2jqR+Q8FCtUSx7Dn2tzm0igcw==" saltValue="HS8q6yRh2WYIaJrNdch0bg==" spinCount="100000" sheet="1" formatCells="0" formatColumns="0" formatRows="0"/>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39"/>
  <sheetViews>
    <sheetView showGridLines="0" workbookViewId="0">
      <selection activeCell="C6" sqref="C6"/>
    </sheetView>
  </sheetViews>
  <sheetFormatPr defaultRowHeight="13.2" x14ac:dyDescent="0.25"/>
  <cols>
    <col min="1" max="1" width="2.33203125" customWidth="1"/>
    <col min="2" max="2" width="42.6640625" customWidth="1"/>
    <col min="3" max="3" width="10.5546875" customWidth="1"/>
    <col min="4" max="4" width="4" customWidth="1"/>
    <col min="5" max="5" width="50.5546875" customWidth="1"/>
    <col min="6" max="6" width="45.5546875" customWidth="1"/>
  </cols>
  <sheetData>
    <row r="2" spans="2:6" ht="17.399999999999999" x14ac:dyDescent="0.3">
      <c r="B2" s="123" t="s">
        <v>151</v>
      </c>
      <c r="C2" s="124"/>
      <c r="D2" s="124"/>
      <c r="E2" s="124"/>
      <c r="F2" s="125"/>
    </row>
    <row r="3" spans="2:6" ht="15.6" x14ac:dyDescent="0.3">
      <c r="B3" s="60"/>
      <c r="C3" s="60"/>
      <c r="D3" s="60"/>
      <c r="E3" s="128" t="s">
        <v>139</v>
      </c>
      <c r="F3" s="127"/>
    </row>
    <row r="4" spans="2:6" ht="15.6" x14ac:dyDescent="0.3">
      <c r="B4" s="60" t="s">
        <v>138</v>
      </c>
      <c r="C4" s="66" t="s">
        <v>89</v>
      </c>
      <c r="D4" s="60"/>
      <c r="E4" s="126" t="s">
        <v>136</v>
      </c>
      <c r="F4" s="127"/>
    </row>
    <row r="5" spans="2:6" ht="15.6" x14ac:dyDescent="0.3">
      <c r="B5" s="60" t="s">
        <v>137</v>
      </c>
      <c r="C5" s="67">
        <v>0.15</v>
      </c>
      <c r="D5" s="60"/>
      <c r="E5" s="126" t="s">
        <v>135</v>
      </c>
      <c r="F5" s="127"/>
    </row>
    <row r="6" spans="2:6" ht="15.6" x14ac:dyDescent="0.3">
      <c r="B6" s="60" t="s">
        <v>195</v>
      </c>
      <c r="C6" s="68">
        <v>2.75</v>
      </c>
      <c r="D6" s="60"/>
      <c r="E6" s="126" t="s">
        <v>108</v>
      </c>
      <c r="F6" s="127"/>
    </row>
    <row r="7" spans="2:6" ht="15.6" x14ac:dyDescent="0.3">
      <c r="B7" s="60" t="s">
        <v>196</v>
      </c>
      <c r="C7" s="68">
        <v>25</v>
      </c>
      <c r="D7" s="60"/>
      <c r="E7" s="126" t="s">
        <v>110</v>
      </c>
      <c r="F7" s="127"/>
    </row>
    <row r="8" spans="2:6" ht="15.6" x14ac:dyDescent="0.3">
      <c r="B8" s="60" t="s">
        <v>134</v>
      </c>
      <c r="C8" s="68" t="s">
        <v>59</v>
      </c>
      <c r="D8" s="60"/>
      <c r="E8" s="126" t="s">
        <v>150</v>
      </c>
      <c r="F8" s="127"/>
    </row>
    <row r="9" spans="2:6" ht="15.6" x14ac:dyDescent="0.3">
      <c r="B9" s="60" t="s">
        <v>197</v>
      </c>
      <c r="C9" s="68">
        <v>25</v>
      </c>
      <c r="D9" s="60"/>
      <c r="E9" s="126" t="s">
        <v>109</v>
      </c>
      <c r="F9" s="127"/>
    </row>
    <row r="10" spans="2:6" ht="15.6" x14ac:dyDescent="0.3">
      <c r="B10" s="60" t="s">
        <v>79</v>
      </c>
      <c r="C10" s="67">
        <v>0</v>
      </c>
      <c r="D10" s="60"/>
      <c r="E10" s="126" t="s">
        <v>117</v>
      </c>
      <c r="F10" s="127"/>
    </row>
    <row r="11" spans="2:6" ht="15.6" x14ac:dyDescent="0.3">
      <c r="B11" s="60" t="s">
        <v>113</v>
      </c>
      <c r="C11" s="69">
        <v>75</v>
      </c>
      <c r="D11" s="60"/>
      <c r="E11" s="126" t="s">
        <v>129</v>
      </c>
      <c r="F11" s="127"/>
    </row>
    <row r="12" spans="2:6" ht="13.8" x14ac:dyDescent="0.25">
      <c r="B12" s="59"/>
      <c r="C12" s="59"/>
      <c r="D12" s="59"/>
      <c r="E12" s="130"/>
      <c r="F12" s="125"/>
    </row>
    <row r="14" spans="2:6" ht="15.6" x14ac:dyDescent="0.3">
      <c r="B14" s="129" t="s">
        <v>174</v>
      </c>
      <c r="C14" s="120"/>
      <c r="D14" s="120"/>
      <c r="E14" s="120"/>
      <c r="F14" s="120"/>
    </row>
    <row r="15" spans="2:6" s="63" customFormat="1" ht="10.199999999999999" x14ac:dyDescent="0.2"/>
    <row r="16" spans="2:6" ht="15" x14ac:dyDescent="0.25">
      <c r="B16" s="62" t="s">
        <v>158</v>
      </c>
      <c r="C16" s="61"/>
      <c r="D16" s="61"/>
      <c r="E16" s="62" t="s">
        <v>159</v>
      </c>
      <c r="F16" s="62" t="s">
        <v>160</v>
      </c>
    </row>
    <row r="17" spans="2:6" ht="15" x14ac:dyDescent="0.25">
      <c r="B17" s="61" t="s">
        <v>161</v>
      </c>
      <c r="C17" s="61"/>
      <c r="D17" s="61"/>
      <c r="E17" s="61" t="s">
        <v>161</v>
      </c>
      <c r="F17" s="61" t="s">
        <v>161</v>
      </c>
    </row>
    <row r="18" spans="2:6" ht="15" x14ac:dyDescent="0.25">
      <c r="B18" s="61" t="s">
        <v>162</v>
      </c>
      <c r="C18" s="61"/>
      <c r="D18" s="61"/>
      <c r="E18" s="61" t="s">
        <v>16</v>
      </c>
      <c r="F18" s="61" t="s">
        <v>173</v>
      </c>
    </row>
    <row r="19" spans="2:6" ht="15" x14ac:dyDescent="0.25">
      <c r="B19" s="61" t="s">
        <v>163</v>
      </c>
      <c r="C19" s="61"/>
      <c r="D19" s="61"/>
      <c r="E19" s="61" t="s">
        <v>170</v>
      </c>
      <c r="F19" s="61" t="s">
        <v>164</v>
      </c>
    </row>
    <row r="20" spans="2:6" ht="15" x14ac:dyDescent="0.25">
      <c r="B20" s="61" t="s">
        <v>164</v>
      </c>
      <c r="C20" s="61"/>
      <c r="D20" s="61"/>
      <c r="E20" s="61" t="s">
        <v>163</v>
      </c>
      <c r="F20" s="61" t="s">
        <v>165</v>
      </c>
    </row>
    <row r="21" spans="2:6" ht="15" x14ac:dyDescent="0.25">
      <c r="B21" s="61" t="s">
        <v>165</v>
      </c>
      <c r="C21" s="61"/>
      <c r="D21" s="61"/>
      <c r="E21" s="61" t="s">
        <v>171</v>
      </c>
      <c r="F21" s="61" t="s">
        <v>166</v>
      </c>
    </row>
    <row r="22" spans="2:6" ht="15" x14ac:dyDescent="0.25">
      <c r="B22" s="61" t="s">
        <v>166</v>
      </c>
      <c r="C22" s="61"/>
      <c r="D22" s="61"/>
      <c r="E22" s="61" t="s">
        <v>172</v>
      </c>
      <c r="F22" s="61" t="s">
        <v>167</v>
      </c>
    </row>
    <row r="23" spans="2:6" ht="15" x14ac:dyDescent="0.25">
      <c r="B23" s="61" t="s">
        <v>167</v>
      </c>
      <c r="C23" s="61"/>
      <c r="D23" s="61"/>
      <c r="E23" s="61" t="s">
        <v>165</v>
      </c>
      <c r="F23" s="61" t="s">
        <v>169</v>
      </c>
    </row>
    <row r="24" spans="2:6" ht="15" x14ac:dyDescent="0.25">
      <c r="B24" s="61" t="s">
        <v>168</v>
      </c>
      <c r="C24" s="61"/>
      <c r="D24" s="61"/>
      <c r="E24" s="61" t="s">
        <v>166</v>
      </c>
      <c r="F24" s="61"/>
    </row>
    <row r="25" spans="2:6" ht="15" x14ac:dyDescent="0.25">
      <c r="B25" s="61" t="s">
        <v>169</v>
      </c>
      <c r="C25" s="61"/>
      <c r="D25" s="61"/>
      <c r="E25" s="61" t="s">
        <v>167</v>
      </c>
      <c r="F25" s="61"/>
    </row>
    <row r="26" spans="2:6" ht="15" x14ac:dyDescent="0.25">
      <c r="B26" s="61"/>
      <c r="C26" s="61"/>
      <c r="D26" s="61"/>
      <c r="E26" s="61" t="s">
        <v>168</v>
      </c>
      <c r="F26" s="61"/>
    </row>
    <row r="27" spans="2:6" ht="15" x14ac:dyDescent="0.25">
      <c r="B27" s="61"/>
      <c r="C27" s="61"/>
      <c r="D27" s="61"/>
      <c r="E27" s="61" t="s">
        <v>169</v>
      </c>
      <c r="F27" s="61"/>
    </row>
    <row r="38" spans="3:4" hidden="1" x14ac:dyDescent="0.25">
      <c r="C38" t="s">
        <v>59</v>
      </c>
      <c r="D38" t="s">
        <v>89</v>
      </c>
    </row>
    <row r="39" spans="3:4" hidden="1" x14ac:dyDescent="0.25">
      <c r="C39" t="s">
        <v>100</v>
      </c>
      <c r="D39" t="s">
        <v>90</v>
      </c>
    </row>
  </sheetData>
  <sheetProtection algorithmName="SHA-512" hashValue="xD3OCjzPPt0goP6jPsBpW7KwQA3imyVdZEtRuVHfdIcUI1ePiVFAed9da7vEe9049SdyI5Iq3C5S+7S1uCBg1g==" saltValue="9TaJcyhEmKlVGyDALm3GHQ==" spinCount="100000" sheet="1" formatCells="0" formatColumns="0" formatRows="0"/>
  <mergeCells count="12">
    <mergeCell ref="E9:F9"/>
    <mergeCell ref="B14:F14"/>
    <mergeCell ref="E10:F10"/>
    <mergeCell ref="E11:F11"/>
    <mergeCell ref="E12:F12"/>
    <mergeCell ref="B2:F2"/>
    <mergeCell ref="E6:F6"/>
    <mergeCell ref="E7:F7"/>
    <mergeCell ref="E8:F8"/>
    <mergeCell ref="E3:F3"/>
    <mergeCell ref="E4:F4"/>
    <mergeCell ref="E5:F5"/>
  </mergeCells>
  <phoneticPr fontId="6" type="noConversion"/>
  <dataValidations count="2">
    <dataValidation type="list" allowBlank="1" showInputMessage="1" showErrorMessage="1" sqref="C4" xr:uid="{00000000-0002-0000-0200-000000000000}">
      <formula1>$D$38:$D$39</formula1>
    </dataValidation>
    <dataValidation type="list" allowBlank="1" showInputMessage="1" showErrorMessage="1" sqref="C8" xr:uid="{00000000-0002-0000-0200-000001000000}">
      <formula1>$C$38:$C$39</formula1>
    </dataValidation>
  </dataValidations>
  <pageMargins left="0.75" right="0.75" top="1" bottom="1" header="0.5" footer="0.5"/>
  <pageSetup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5"/>
  <sheetViews>
    <sheetView workbookViewId="0">
      <selection activeCell="B25" sqref="B25"/>
    </sheetView>
  </sheetViews>
  <sheetFormatPr defaultRowHeight="13.2" x14ac:dyDescent="0.25"/>
  <cols>
    <col min="1" max="1" width="23.33203125" customWidth="1"/>
    <col min="2" max="2" width="10.88671875" customWidth="1"/>
    <col min="3" max="4" width="11.44140625" customWidth="1"/>
    <col min="5" max="5" width="7.109375" customWidth="1"/>
    <col min="9" max="9" width="11.44140625" customWidth="1"/>
  </cols>
  <sheetData>
    <row r="1" spans="1:16" s="25" customFormat="1" ht="26.4" x14ac:dyDescent="0.25">
      <c r="A1" s="27"/>
      <c r="B1" s="80" t="s">
        <v>209</v>
      </c>
      <c r="C1" s="80" t="s">
        <v>210</v>
      </c>
    </row>
    <row r="2" spans="1:16" x14ac:dyDescent="0.25">
      <c r="A2" s="29" t="s">
        <v>211</v>
      </c>
      <c r="B2" s="81">
        <v>950</v>
      </c>
      <c r="C2" s="82">
        <v>950</v>
      </c>
    </row>
    <row r="3" spans="1:16" x14ac:dyDescent="0.25">
      <c r="A3" s="4" t="s">
        <v>212</v>
      </c>
      <c r="B3" s="83">
        <v>6</v>
      </c>
      <c r="C3" s="84">
        <v>6</v>
      </c>
    </row>
    <row r="4" spans="1:16" x14ac:dyDescent="0.25">
      <c r="A4" s="29" t="s">
        <v>213</v>
      </c>
      <c r="B4" s="85">
        <v>0.05</v>
      </c>
      <c r="C4" s="86">
        <v>0.05</v>
      </c>
    </row>
    <row r="5" spans="1:16" x14ac:dyDescent="0.25">
      <c r="A5" s="29" t="s">
        <v>214</v>
      </c>
      <c r="B5" s="87">
        <v>45</v>
      </c>
      <c r="C5" s="100">
        <v>60</v>
      </c>
      <c r="E5" s="101" t="s">
        <v>234</v>
      </c>
      <c r="F5" s="98"/>
      <c r="G5" s="98"/>
      <c r="H5" s="98"/>
    </row>
    <row r="6" spans="1:16" x14ac:dyDescent="0.25">
      <c r="A6" s="29" t="s">
        <v>215</v>
      </c>
      <c r="B6" s="88">
        <v>15</v>
      </c>
      <c r="C6" s="106">
        <f>'Machinery Calculations'!C7*(1-'Machinery Calculations'!C10) + 'Machinery Calculations'!C9*'Machinery Calculations'!C10</f>
        <v>25</v>
      </c>
    </row>
    <row r="7" spans="1:16" x14ac:dyDescent="0.25">
      <c r="A7" s="29" t="s">
        <v>216</v>
      </c>
      <c r="B7" s="87">
        <v>45</v>
      </c>
      <c r="C7" s="82">
        <v>45</v>
      </c>
    </row>
    <row r="8" spans="1:16" x14ac:dyDescent="0.25">
      <c r="A8" s="29" t="s">
        <v>227</v>
      </c>
      <c r="B8" s="81"/>
      <c r="C8" s="99">
        <v>0.32</v>
      </c>
    </row>
    <row r="9" spans="1:16" x14ac:dyDescent="0.25">
      <c r="A9" s="29" t="s">
        <v>217</v>
      </c>
      <c r="B9" s="51"/>
      <c r="C9" s="51">
        <f>C8+'Machinery Calculations'!C6</f>
        <v>3.07</v>
      </c>
    </row>
    <row r="10" spans="1:16" x14ac:dyDescent="0.25">
      <c r="A10" s="29" t="s">
        <v>229</v>
      </c>
      <c r="B10" s="81"/>
      <c r="C10" s="99">
        <v>1.02</v>
      </c>
      <c r="E10" s="102" t="s">
        <v>228</v>
      </c>
      <c r="F10" s="98"/>
      <c r="G10" s="98"/>
      <c r="H10" s="98"/>
      <c r="I10" s="98"/>
      <c r="J10" s="98"/>
      <c r="K10" s="98"/>
      <c r="L10" s="98"/>
      <c r="M10" s="98"/>
      <c r="N10" s="98"/>
      <c r="O10" s="98"/>
      <c r="P10" s="98"/>
    </row>
    <row r="11" spans="1:16" x14ac:dyDescent="0.25">
      <c r="A11" s="23"/>
      <c r="B11" s="89"/>
      <c r="C11" s="90"/>
    </row>
    <row r="12" spans="1:16" x14ac:dyDescent="0.25">
      <c r="C12" s="91" t="s">
        <v>218</v>
      </c>
    </row>
    <row r="13" spans="1:16" x14ac:dyDescent="0.25">
      <c r="B13" t="s">
        <v>219</v>
      </c>
      <c r="C13" s="92">
        <v>8.3834683054144016E-2</v>
      </c>
    </row>
    <row r="14" spans="1:16" x14ac:dyDescent="0.25">
      <c r="B14" t="s">
        <v>220</v>
      </c>
      <c r="C14" s="92">
        <v>6.39358654084756E-4</v>
      </c>
    </row>
    <row r="15" spans="1:16" ht="13.8" thickBot="1" x14ac:dyDescent="0.3">
      <c r="B15" s="93" t="s">
        <v>221</v>
      </c>
      <c r="C15" s="92"/>
    </row>
    <row r="17" spans="1:10" ht="52.8" x14ac:dyDescent="0.25">
      <c r="B17" s="79" t="s">
        <v>220</v>
      </c>
      <c r="C17" s="94" t="s">
        <v>222</v>
      </c>
      <c r="D17" s="94" t="s">
        <v>223</v>
      </c>
      <c r="E17" s="94" t="s">
        <v>224</v>
      </c>
      <c r="F17" s="94" t="s">
        <v>225</v>
      </c>
      <c r="G17" s="94" t="s">
        <v>226</v>
      </c>
      <c r="H17" s="95" t="s">
        <v>226</v>
      </c>
      <c r="I17" s="94" t="s">
        <v>231</v>
      </c>
      <c r="J17" s="94"/>
    </row>
    <row r="18" spans="1:10" x14ac:dyDescent="0.25">
      <c r="B18">
        <v>5</v>
      </c>
      <c r="C18" s="26">
        <f t="shared" ref="C18:C25" si="0">C$13+B18*C$14+(B18^2)*C$15</f>
        <v>8.70314763245678E-2</v>
      </c>
      <c r="D18" s="26">
        <f t="shared" ref="D18:D25" si="1">C18*C$10</f>
        <v>8.8772105851059158E-2</v>
      </c>
      <c r="E18" s="26">
        <f t="shared" ref="E18:E25" si="2">(B18*2*C$9*(1+C$4))/(C$3*C$2)</f>
        <v>5.655263157894737E-3</v>
      </c>
      <c r="F18" s="26">
        <f t="shared" ref="F18:F25" si="3">((((B18*2)/C$7)+C$5/60)*C$6)/C$2</f>
        <v>3.2163742690058478E-2</v>
      </c>
      <c r="G18" s="26">
        <f t="shared" ref="G18:G25" si="4">SUM(D18:F18)</f>
        <v>0.12659111169901238</v>
      </c>
      <c r="H18" s="96">
        <f t="shared" ref="H18:H23" si="5">(C$13+B18*C$14+(B18^2)*C$15)*C$10+((B18*2*C$9*(1+C$4))/(C$3*C$2))+((((B18*2)/C$7)+C$5/60)*C$6)/C$2</f>
        <v>0.12659111169901238</v>
      </c>
      <c r="I18" s="97">
        <f t="shared" ref="I18:I25" si="6">H18*C$2</f>
        <v>120.26155611406176</v>
      </c>
      <c r="J18" s="2"/>
    </row>
    <row r="19" spans="1:10" x14ac:dyDescent="0.25">
      <c r="B19">
        <v>10</v>
      </c>
      <c r="C19" s="26">
        <f t="shared" si="0"/>
        <v>9.022826959499157E-2</v>
      </c>
      <c r="D19" s="26">
        <f t="shared" si="1"/>
        <v>9.2032834986891396E-2</v>
      </c>
      <c r="E19" s="26">
        <f t="shared" si="2"/>
        <v>1.1310526315789474E-2</v>
      </c>
      <c r="F19" s="26">
        <f t="shared" si="3"/>
        <v>3.8011695906432746E-2</v>
      </c>
      <c r="G19" s="26">
        <f t="shared" si="4"/>
        <v>0.14135505720911362</v>
      </c>
      <c r="H19" s="96">
        <f t="shared" si="5"/>
        <v>0.14135505720911362</v>
      </c>
      <c r="I19" s="97">
        <f t="shared" si="6"/>
        <v>134.28730434865793</v>
      </c>
      <c r="J19" s="2"/>
    </row>
    <row r="20" spans="1:10" x14ac:dyDescent="0.25">
      <c r="B20">
        <v>25</v>
      </c>
      <c r="C20" s="26">
        <f t="shared" si="0"/>
        <v>9.9818649406262921E-2</v>
      </c>
      <c r="D20" s="26">
        <f t="shared" si="1"/>
        <v>0.10181502239438818</v>
      </c>
      <c r="E20" s="26">
        <f t="shared" si="2"/>
        <v>2.8276315789473688E-2</v>
      </c>
      <c r="F20" s="26">
        <f t="shared" si="3"/>
        <v>5.5555555555555559E-2</v>
      </c>
      <c r="G20" s="26">
        <f t="shared" si="4"/>
        <v>0.18564689373941742</v>
      </c>
      <c r="H20" s="96">
        <f t="shared" si="5"/>
        <v>0.18564689373941742</v>
      </c>
      <c r="I20" s="97">
        <f t="shared" si="6"/>
        <v>176.36454905244656</v>
      </c>
      <c r="J20" s="2"/>
    </row>
    <row r="21" spans="1:10" x14ac:dyDescent="0.25">
      <c r="B21">
        <v>50</v>
      </c>
      <c r="C21" s="26">
        <f t="shared" si="0"/>
        <v>0.11580261575838181</v>
      </c>
      <c r="D21" s="26">
        <f t="shared" si="1"/>
        <v>0.11811866807354945</v>
      </c>
      <c r="E21" s="26">
        <f t="shared" si="2"/>
        <v>5.6552631578947375E-2</v>
      </c>
      <c r="F21" s="26">
        <f t="shared" si="3"/>
        <v>8.4795321637426896E-2</v>
      </c>
      <c r="G21" s="26">
        <f t="shared" si="4"/>
        <v>0.2594666212899237</v>
      </c>
      <c r="H21" s="96">
        <f t="shared" si="5"/>
        <v>0.2594666212899237</v>
      </c>
      <c r="I21" s="97">
        <f t="shared" si="6"/>
        <v>246.49329022542753</v>
      </c>
      <c r="J21" s="2"/>
    </row>
    <row r="22" spans="1:10" x14ac:dyDescent="0.25">
      <c r="B22">
        <v>100</v>
      </c>
      <c r="C22" s="26">
        <f t="shared" si="0"/>
        <v>0.14777054846261961</v>
      </c>
      <c r="D22" s="26">
        <f t="shared" si="1"/>
        <v>0.150725959431872</v>
      </c>
      <c r="E22" s="26">
        <f t="shared" si="2"/>
        <v>0.11310526315789475</v>
      </c>
      <c r="F22" s="26">
        <f t="shared" si="3"/>
        <v>0.14327485380116958</v>
      </c>
      <c r="G22" s="26">
        <f t="shared" si="4"/>
        <v>0.40710607639093632</v>
      </c>
      <c r="H22" s="96">
        <f t="shared" si="5"/>
        <v>0.40710607639093632</v>
      </c>
      <c r="I22" s="97">
        <f t="shared" si="6"/>
        <v>386.75077257138952</v>
      </c>
      <c r="J22" s="2"/>
    </row>
    <row r="23" spans="1:10" x14ac:dyDescent="0.25">
      <c r="B23">
        <v>200</v>
      </c>
      <c r="C23" s="26">
        <f t="shared" si="0"/>
        <v>0.21170641387109521</v>
      </c>
      <c r="D23" s="26">
        <f t="shared" si="1"/>
        <v>0.2159405421485171</v>
      </c>
      <c r="E23" s="26">
        <f t="shared" si="2"/>
        <v>0.2262105263157895</v>
      </c>
      <c r="F23" s="26">
        <f t="shared" si="3"/>
        <v>0.26023391812865498</v>
      </c>
      <c r="G23" s="26">
        <f t="shared" si="4"/>
        <v>0.70238498659296167</v>
      </c>
      <c r="H23" s="96">
        <f t="shared" si="5"/>
        <v>0.70238498659296167</v>
      </c>
      <c r="I23" s="97">
        <f t="shared" si="6"/>
        <v>667.26573726331355</v>
      </c>
      <c r="J23" s="2"/>
    </row>
    <row r="24" spans="1:10" x14ac:dyDescent="0.25">
      <c r="C24" s="26"/>
      <c r="D24" s="26"/>
      <c r="E24" s="26"/>
      <c r="F24" s="26"/>
      <c r="G24" s="26"/>
      <c r="I24" s="97"/>
      <c r="J24" s="2"/>
    </row>
    <row r="25" spans="1:10" x14ac:dyDescent="0.25">
      <c r="A25" s="11" t="s">
        <v>230</v>
      </c>
      <c r="B25" s="108">
        <f>'Machinery Calculations'!C11</f>
        <v>75</v>
      </c>
      <c r="C25" s="103">
        <f t="shared" si="0"/>
        <v>0.13178658211050071</v>
      </c>
      <c r="D25" s="103">
        <f t="shared" si="1"/>
        <v>0.13442231375271071</v>
      </c>
      <c r="E25" s="103">
        <f t="shared" si="2"/>
        <v>8.4828947368421059E-2</v>
      </c>
      <c r="F25" s="103">
        <f t="shared" si="3"/>
        <v>0.11403508771929825</v>
      </c>
      <c r="G25" s="103">
        <f t="shared" si="4"/>
        <v>0.33328634884043001</v>
      </c>
      <c r="H25" s="104">
        <f>(C$13+B25*C$14+(B25^2)*C$15)*C$10+((B25*2*C$9*(1+C$4))/(C$3*C$2))+((((B25*2)/C$7)+C$5/60)*C$6)/C$2</f>
        <v>0.33328634884043001</v>
      </c>
      <c r="I25" s="105">
        <f t="shared" si="6"/>
        <v>316.62203139840852</v>
      </c>
      <c r="J25" s="2"/>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56"/>
  <sheetViews>
    <sheetView showGridLines="0" tabSelected="1" workbookViewId="0">
      <selection activeCell="F5" sqref="F5"/>
    </sheetView>
  </sheetViews>
  <sheetFormatPr defaultRowHeight="13.2" x14ac:dyDescent="0.25"/>
  <cols>
    <col min="1" max="1" width="3" customWidth="1"/>
    <col min="2" max="2" width="4" customWidth="1"/>
    <col min="3" max="3" width="31.44140625" customWidth="1"/>
    <col min="4" max="4" width="7.33203125" customWidth="1"/>
    <col min="5" max="5" width="7.6640625" customWidth="1"/>
    <col min="6" max="6" width="7.88671875" customWidth="1"/>
    <col min="7" max="7" width="10" customWidth="1"/>
    <col min="8" max="8" width="5" customWidth="1"/>
    <col min="9" max="9" width="8.6640625" customWidth="1"/>
  </cols>
  <sheetData>
    <row r="1" spans="2:11" ht="15.6" x14ac:dyDescent="0.3">
      <c r="B1" s="151" t="s">
        <v>88</v>
      </c>
      <c r="C1" s="152"/>
      <c r="D1" s="152"/>
      <c r="E1" s="152"/>
      <c r="F1" s="152"/>
      <c r="G1" s="152"/>
      <c r="H1" s="152"/>
      <c r="I1" s="152"/>
      <c r="K1" t="s">
        <v>84</v>
      </c>
    </row>
    <row r="2" spans="2:11" ht="5.25" customHeight="1" x14ac:dyDescent="0.25">
      <c r="B2" s="4"/>
      <c r="C2" s="4"/>
      <c r="D2" s="4"/>
      <c r="E2" s="4"/>
      <c r="F2" s="4"/>
      <c r="G2" s="157"/>
      <c r="H2" s="125"/>
      <c r="I2" s="4"/>
    </row>
    <row r="3" spans="2:11" s="25" customFormat="1" ht="19.2" customHeight="1" x14ac:dyDescent="0.25">
      <c r="B3" s="27"/>
      <c r="C3" s="27"/>
      <c r="D3" s="3" t="s">
        <v>152</v>
      </c>
      <c r="E3" s="3" t="s">
        <v>60</v>
      </c>
      <c r="F3" s="3" t="s">
        <v>61</v>
      </c>
      <c r="G3" s="153"/>
      <c r="H3" s="154"/>
      <c r="I3" s="3" t="s">
        <v>5</v>
      </c>
    </row>
    <row r="4" spans="2:11" x14ac:dyDescent="0.25">
      <c r="B4" s="28" t="s">
        <v>62</v>
      </c>
      <c r="C4" s="28"/>
      <c r="D4" s="139"/>
      <c r="E4" s="140"/>
      <c r="F4" s="140"/>
      <c r="G4" s="140"/>
      <c r="H4" s="140"/>
      <c r="I4" s="141"/>
    </row>
    <row r="5" spans="2:11" x14ac:dyDescent="0.25">
      <c r="B5" s="4"/>
      <c r="C5" s="4" t="s">
        <v>38</v>
      </c>
      <c r="D5" s="70">
        <v>175</v>
      </c>
      <c r="E5" s="4" t="s">
        <v>63</v>
      </c>
      <c r="F5" s="72">
        <v>4.2</v>
      </c>
      <c r="G5" s="138"/>
      <c r="H5" s="138"/>
      <c r="I5" s="5">
        <f>D5*F5</f>
        <v>735</v>
      </c>
    </row>
    <row r="6" spans="2:11" x14ac:dyDescent="0.25">
      <c r="B6" s="4"/>
      <c r="C6" s="29" t="s">
        <v>203</v>
      </c>
      <c r="D6" s="4">
        <v>1</v>
      </c>
      <c r="E6" s="4" t="s">
        <v>69</v>
      </c>
      <c r="F6" s="72">
        <v>0</v>
      </c>
      <c r="G6" s="155"/>
      <c r="H6" s="156"/>
      <c r="I6" s="78">
        <f>D6*F6</f>
        <v>0</v>
      </c>
    </row>
    <row r="7" spans="2:11" x14ac:dyDescent="0.25">
      <c r="B7" s="4"/>
      <c r="C7" s="29" t="s">
        <v>202</v>
      </c>
      <c r="D7" s="4">
        <v>1</v>
      </c>
      <c r="E7" s="4" t="s">
        <v>69</v>
      </c>
      <c r="F7" s="72">
        <v>20</v>
      </c>
      <c r="G7" s="155"/>
      <c r="H7" s="156"/>
      <c r="I7" s="31">
        <f>D7*F7</f>
        <v>20</v>
      </c>
    </row>
    <row r="8" spans="2:11" x14ac:dyDescent="0.25">
      <c r="B8" s="28" t="s">
        <v>83</v>
      </c>
      <c r="C8" s="28"/>
      <c r="D8" s="4"/>
      <c r="E8" s="4"/>
      <c r="F8" s="16"/>
      <c r="G8" s="138"/>
      <c r="H8" s="138"/>
      <c r="I8" s="51">
        <f>SUM(I5:I7)</f>
        <v>755</v>
      </c>
    </row>
    <row r="9" spans="2:11" ht="4.5" customHeight="1" x14ac:dyDescent="0.25">
      <c r="B9" s="4"/>
      <c r="C9" s="4"/>
      <c r="D9" s="4"/>
      <c r="E9" s="4"/>
      <c r="F9" s="4"/>
      <c r="G9" s="138"/>
      <c r="H9" s="138"/>
      <c r="I9" s="4"/>
    </row>
    <row r="10" spans="2:11" x14ac:dyDescent="0.25">
      <c r="B10" s="28" t="s">
        <v>64</v>
      </c>
      <c r="C10" s="4"/>
      <c r="D10" s="139"/>
      <c r="E10" s="140"/>
      <c r="F10" s="140"/>
      <c r="G10" s="140"/>
      <c r="H10" s="140"/>
      <c r="I10" s="141"/>
    </row>
    <row r="11" spans="2:11" x14ac:dyDescent="0.25">
      <c r="B11" s="4"/>
      <c r="C11" s="4" t="s">
        <v>65</v>
      </c>
      <c r="D11" s="71">
        <v>0.38</v>
      </c>
      <c r="E11" s="4" t="s">
        <v>66</v>
      </c>
      <c r="F11" s="72">
        <v>265</v>
      </c>
      <c r="G11" s="138"/>
      <c r="H11" s="138"/>
      <c r="I11" s="5">
        <f t="shared" ref="I11:I29" si="0">D11*F11</f>
        <v>100.7</v>
      </c>
    </row>
    <row r="12" spans="2:11" ht="15.6" x14ac:dyDescent="0.25">
      <c r="B12" s="4"/>
      <c r="C12" s="4" t="s">
        <v>178</v>
      </c>
      <c r="D12" s="70">
        <v>170</v>
      </c>
      <c r="E12" s="4" t="s">
        <v>201</v>
      </c>
      <c r="F12" s="113">
        <v>0.6</v>
      </c>
      <c r="G12" s="138"/>
      <c r="H12" s="138"/>
      <c r="I12" s="5">
        <f t="shared" si="0"/>
        <v>102</v>
      </c>
    </row>
    <row r="13" spans="2:11" ht="15.6" x14ac:dyDescent="0.35">
      <c r="B13" s="4"/>
      <c r="C13" s="4" t="s">
        <v>121</v>
      </c>
      <c r="D13" s="70">
        <v>60</v>
      </c>
      <c r="E13" s="4" t="s">
        <v>201</v>
      </c>
      <c r="F13" s="113">
        <v>0.57999999999999996</v>
      </c>
      <c r="G13" s="138"/>
      <c r="H13" s="138"/>
      <c r="I13" s="5">
        <f>D13*F13</f>
        <v>34.799999999999997</v>
      </c>
    </row>
    <row r="14" spans="2:11" ht="15.6" x14ac:dyDescent="0.35">
      <c r="B14" s="4"/>
      <c r="C14" s="4" t="s">
        <v>122</v>
      </c>
      <c r="D14" s="70">
        <v>55</v>
      </c>
      <c r="E14" s="4" t="s">
        <v>201</v>
      </c>
      <c r="F14" s="113">
        <v>0.38</v>
      </c>
      <c r="G14" s="149"/>
      <c r="H14" s="150"/>
      <c r="I14" s="5">
        <f t="shared" si="0"/>
        <v>20.9</v>
      </c>
    </row>
    <row r="15" spans="2:11" x14ac:dyDescent="0.25">
      <c r="B15" s="4"/>
      <c r="C15" s="4" t="s">
        <v>107</v>
      </c>
      <c r="D15" s="70">
        <v>0</v>
      </c>
      <c r="E15" s="4" t="s">
        <v>201</v>
      </c>
      <c r="F15" s="72">
        <v>0</v>
      </c>
      <c r="G15" s="149"/>
      <c r="H15" s="150"/>
      <c r="I15" s="5">
        <f t="shared" si="0"/>
        <v>0</v>
      </c>
    </row>
    <row r="16" spans="2:11" x14ac:dyDescent="0.25">
      <c r="B16" s="4"/>
      <c r="C16" s="4" t="s">
        <v>97</v>
      </c>
      <c r="D16" s="77">
        <v>0.7</v>
      </c>
      <c r="E16" s="4" t="s">
        <v>67</v>
      </c>
      <c r="F16" s="72">
        <v>25</v>
      </c>
      <c r="G16" s="138"/>
      <c r="H16" s="138"/>
      <c r="I16" s="5">
        <f t="shared" si="0"/>
        <v>17.5</v>
      </c>
    </row>
    <row r="17" spans="2:11" x14ac:dyDescent="0.25">
      <c r="B17" s="4"/>
      <c r="C17" s="4" t="s">
        <v>68</v>
      </c>
      <c r="D17" s="4">
        <v>1</v>
      </c>
      <c r="E17" s="4" t="s">
        <v>69</v>
      </c>
      <c r="F17" s="72">
        <v>85</v>
      </c>
      <c r="G17" s="138"/>
      <c r="H17" s="138"/>
      <c r="I17" s="5">
        <f t="shared" si="0"/>
        <v>85</v>
      </c>
    </row>
    <row r="18" spans="2:11" ht="15.6" x14ac:dyDescent="0.25">
      <c r="B18" s="4"/>
      <c r="C18" s="4" t="s">
        <v>184</v>
      </c>
      <c r="D18" s="4">
        <v>1</v>
      </c>
      <c r="E18" s="4" t="s">
        <v>69</v>
      </c>
      <c r="F18" s="72">
        <v>0</v>
      </c>
      <c r="G18" s="138"/>
      <c r="H18" s="138"/>
      <c r="I18" s="5">
        <f t="shared" si="0"/>
        <v>0</v>
      </c>
    </row>
    <row r="19" spans="2:11" ht="15.6" x14ac:dyDescent="0.25">
      <c r="B19" s="4"/>
      <c r="C19" s="29" t="s">
        <v>185</v>
      </c>
      <c r="D19" s="4">
        <v>1</v>
      </c>
      <c r="E19" s="4" t="s">
        <v>69</v>
      </c>
      <c r="F19" s="72">
        <v>0</v>
      </c>
      <c r="G19" s="143"/>
      <c r="H19" s="143"/>
      <c r="I19" s="5">
        <f>D19*F19</f>
        <v>0</v>
      </c>
    </row>
    <row r="20" spans="2:11" ht="13.2" customHeight="1" x14ac:dyDescent="0.25">
      <c r="B20" s="4"/>
      <c r="C20" s="32" t="s">
        <v>96</v>
      </c>
      <c r="D20" s="32">
        <v>1</v>
      </c>
      <c r="E20" s="32" t="s">
        <v>69</v>
      </c>
      <c r="F20" s="73">
        <v>0</v>
      </c>
      <c r="G20" s="144" t="s">
        <v>141</v>
      </c>
      <c r="H20" s="146" t="s">
        <v>59</v>
      </c>
      <c r="I20" s="39">
        <f>IF(H20="Y",'Machinery (Corn No-Till)'!O80,F20)</f>
        <v>30.119416634216105</v>
      </c>
      <c r="K20" t="s">
        <v>84</v>
      </c>
    </row>
    <row r="21" spans="2:11" x14ac:dyDescent="0.25">
      <c r="B21" s="4"/>
      <c r="C21" s="32" t="s">
        <v>8</v>
      </c>
      <c r="D21" s="32">
        <v>1</v>
      </c>
      <c r="E21" s="32" t="s">
        <v>69</v>
      </c>
      <c r="F21" s="73">
        <v>0</v>
      </c>
      <c r="G21" s="145"/>
      <c r="H21" s="147"/>
      <c r="I21" s="39">
        <f>IF(H20="Y",('Machinery (Corn No-Till)'!R80-(I24*'Machinery (Corn No-Till)'!B12)),F21)</f>
        <v>37.874053767047521</v>
      </c>
    </row>
    <row r="22" spans="2:11" x14ac:dyDescent="0.25">
      <c r="B22" s="4"/>
      <c r="C22" s="32" t="s">
        <v>80</v>
      </c>
      <c r="D22" s="32">
        <v>1</v>
      </c>
      <c r="E22" s="32" t="s">
        <v>69</v>
      </c>
      <c r="F22" s="73">
        <v>0</v>
      </c>
      <c r="G22" s="145"/>
      <c r="H22" s="147"/>
      <c r="I22" s="39">
        <f>IF(H20="Y",'Machinery (Corn No-Till)'!Q80,F22)</f>
        <v>0</v>
      </c>
    </row>
    <row r="23" spans="2:11" x14ac:dyDescent="0.25">
      <c r="B23" s="4"/>
      <c r="C23" s="32" t="s">
        <v>123</v>
      </c>
      <c r="D23" s="32">
        <v>1</v>
      </c>
      <c r="E23" s="32" t="s">
        <v>69</v>
      </c>
      <c r="F23" s="73">
        <v>0</v>
      </c>
      <c r="G23" s="145"/>
      <c r="H23" s="147"/>
      <c r="I23" s="39">
        <f>IF(H20="Y",(IF('Machinery (Corn No-Till)'!B5="y",'Machinery (Corn No-Till)'!P80,0)),F23)</f>
        <v>56.388680611997408</v>
      </c>
      <c r="J23" s="2"/>
    </row>
    <row r="24" spans="2:11" x14ac:dyDescent="0.25">
      <c r="B24" s="4"/>
      <c r="C24" s="4" t="s">
        <v>86</v>
      </c>
      <c r="D24" s="4">
        <v>1</v>
      </c>
      <c r="E24" s="4" t="s">
        <v>69</v>
      </c>
      <c r="F24" s="72">
        <v>0</v>
      </c>
      <c r="G24" s="148"/>
      <c r="H24" s="148"/>
      <c r="I24" s="5">
        <f t="shared" si="0"/>
        <v>0</v>
      </c>
      <c r="J24" t="s">
        <v>84</v>
      </c>
    </row>
    <row r="25" spans="2:11" x14ac:dyDescent="0.25">
      <c r="B25" s="4"/>
      <c r="C25" s="4" t="s">
        <v>140</v>
      </c>
      <c r="D25" s="4">
        <v>1</v>
      </c>
      <c r="E25" s="4" t="s">
        <v>69</v>
      </c>
      <c r="F25" s="72">
        <v>0</v>
      </c>
      <c r="G25" s="148"/>
      <c r="H25" s="148"/>
      <c r="I25" s="5">
        <f>D25*F25</f>
        <v>0</v>
      </c>
      <c r="J25" t="s">
        <v>84</v>
      </c>
    </row>
    <row r="26" spans="2:11" x14ac:dyDescent="0.25">
      <c r="B26" s="4"/>
      <c r="C26" s="4" t="s">
        <v>192</v>
      </c>
      <c r="D26" s="4">
        <v>1</v>
      </c>
      <c r="E26" s="4" t="s">
        <v>95</v>
      </c>
      <c r="F26" s="72">
        <v>2</v>
      </c>
      <c r="G26" s="30" t="s">
        <v>133</v>
      </c>
      <c r="H26" s="75">
        <v>3</v>
      </c>
      <c r="I26" s="5">
        <f>(F26/54.5+0.005)*D5*H26</f>
        <v>21.89105504587156</v>
      </c>
      <c r="J26" s="26"/>
      <c r="K26" s="2"/>
    </row>
    <row r="27" spans="2:11" ht="15.6" x14ac:dyDescent="0.25">
      <c r="B27" s="4"/>
      <c r="C27" s="4" t="s">
        <v>188</v>
      </c>
      <c r="D27" s="4">
        <v>1</v>
      </c>
      <c r="E27" s="4" t="s">
        <v>69</v>
      </c>
      <c r="F27" s="72">
        <v>25</v>
      </c>
      <c r="G27" s="148"/>
      <c r="H27" s="148"/>
      <c r="I27" s="5">
        <f t="shared" si="0"/>
        <v>25</v>
      </c>
    </row>
    <row r="28" spans="2:11" ht="15.6" x14ac:dyDescent="0.25">
      <c r="B28" s="4"/>
      <c r="C28" s="4" t="s">
        <v>189</v>
      </c>
      <c r="D28" s="4">
        <v>1</v>
      </c>
      <c r="E28" s="4" t="s">
        <v>69</v>
      </c>
      <c r="F28" s="72">
        <v>175</v>
      </c>
      <c r="G28" s="148"/>
      <c r="H28" s="148"/>
      <c r="I28" s="5">
        <f t="shared" si="0"/>
        <v>175</v>
      </c>
    </row>
    <row r="29" spans="2:11" x14ac:dyDescent="0.25">
      <c r="B29" s="4"/>
      <c r="C29" s="4" t="s">
        <v>194</v>
      </c>
      <c r="D29" s="4">
        <v>1</v>
      </c>
      <c r="E29" s="4" t="s">
        <v>69</v>
      </c>
      <c r="F29" s="72">
        <v>20</v>
      </c>
      <c r="G29" s="142"/>
      <c r="H29" s="142"/>
      <c r="I29" s="5">
        <f t="shared" si="0"/>
        <v>20</v>
      </c>
    </row>
    <row r="30" spans="2:11" x14ac:dyDescent="0.25">
      <c r="B30" s="4"/>
      <c r="C30" s="4" t="s">
        <v>70</v>
      </c>
      <c r="D30" s="58">
        <f>SUM(I10:I29)-I26-(SUM('Machinery (Corn No-Till)'!O48:O55,'Machinery (Corn No-Till)'!P48:P55,'Machinery (Corn No-Till)'!Q48:Q55,'Machinery (Corn No-Till)'!R48:R55,'Machinery (Corn No-Till)'!T48:T55))</f>
        <v>627.49146152371873</v>
      </c>
      <c r="E30" s="4" t="s">
        <v>71</v>
      </c>
      <c r="F30" s="74">
        <v>0.08</v>
      </c>
      <c r="G30" s="30" t="s">
        <v>91</v>
      </c>
      <c r="H30" s="76">
        <v>7</v>
      </c>
      <c r="I30" s="31">
        <f>D30*F30*(H30/12)</f>
        <v>29.282934871106875</v>
      </c>
    </row>
    <row r="31" spans="2:11" x14ac:dyDescent="0.25">
      <c r="B31" s="28" t="s">
        <v>72</v>
      </c>
      <c r="C31" s="4"/>
      <c r="D31" s="4"/>
      <c r="E31" s="4"/>
      <c r="F31" s="4"/>
      <c r="G31" s="138"/>
      <c r="H31" s="138"/>
      <c r="I31" s="51">
        <f>SUM(I11:I30)</f>
        <v>756.45614093023937</v>
      </c>
    </row>
    <row r="32" spans="2:11" ht="7.5" customHeight="1" x14ac:dyDescent="0.25">
      <c r="B32" s="4"/>
      <c r="C32" s="4"/>
      <c r="D32" s="4"/>
      <c r="E32" s="4"/>
      <c r="F32" s="4"/>
      <c r="G32" s="138"/>
      <c r="H32" s="138"/>
      <c r="I32" s="4"/>
    </row>
    <row r="33" spans="2:11" ht="15.6" x14ac:dyDescent="0.3">
      <c r="B33" s="139" t="s">
        <v>73</v>
      </c>
      <c r="C33" s="140"/>
      <c r="D33" s="140"/>
      <c r="E33" s="140"/>
      <c r="F33" s="140"/>
      <c r="G33" s="140"/>
      <c r="H33" s="141"/>
      <c r="I33" s="115">
        <f>I8-I31</f>
        <v>-1.4561409302393713</v>
      </c>
    </row>
    <row r="34" spans="2:11" ht="7.5" customHeight="1" x14ac:dyDescent="0.25">
      <c r="B34" s="4"/>
      <c r="C34" s="4"/>
      <c r="D34" s="4"/>
      <c r="E34" s="4"/>
      <c r="F34" s="4"/>
      <c r="G34" s="138"/>
      <c r="H34" s="138"/>
      <c r="I34" s="4"/>
    </row>
    <row r="35" spans="2:11" x14ac:dyDescent="0.25">
      <c r="B35" s="28" t="s">
        <v>74</v>
      </c>
      <c r="C35" s="4"/>
      <c r="D35" s="139"/>
      <c r="E35" s="140"/>
      <c r="F35" s="140"/>
      <c r="G35" s="140"/>
      <c r="H35" s="140"/>
      <c r="I35" s="141"/>
    </row>
    <row r="36" spans="2:11" x14ac:dyDescent="0.25">
      <c r="B36" s="4"/>
      <c r="C36" s="32" t="s">
        <v>124</v>
      </c>
      <c r="D36" s="32"/>
      <c r="E36" s="32"/>
      <c r="F36" s="73">
        <v>0</v>
      </c>
      <c r="G36" s="134" t="s">
        <v>101</v>
      </c>
      <c r="H36" s="135"/>
      <c r="I36" s="39">
        <f>IF(H20="Y",IF('Machinery (Corn No-Till)'!B5="y",0,'Machinery (Corn No-Till)'!P80),F36)</f>
        <v>0</v>
      </c>
    </row>
    <row r="37" spans="2:11" ht="15" customHeight="1" x14ac:dyDescent="0.25">
      <c r="B37" s="4"/>
      <c r="C37" s="32" t="s">
        <v>81</v>
      </c>
      <c r="D37" s="32"/>
      <c r="E37" s="32"/>
      <c r="F37" s="73">
        <v>0</v>
      </c>
      <c r="G37" s="136"/>
      <c r="H37" s="137"/>
      <c r="I37" s="39">
        <f>IF(H20="Y",'Machinery (Corn No-Till)'!S80-(I24*(1-'Machinery (Corn No-Till)'!B12)),F37)</f>
        <v>58.145806133096485</v>
      </c>
    </row>
    <row r="38" spans="2:11" x14ac:dyDescent="0.25">
      <c r="B38" s="4"/>
      <c r="C38" s="4" t="s">
        <v>85</v>
      </c>
      <c r="D38" s="4">
        <v>1</v>
      </c>
      <c r="E38" s="4" t="s">
        <v>69</v>
      </c>
      <c r="F38" s="72">
        <v>10</v>
      </c>
      <c r="G38" s="138"/>
      <c r="H38" s="138"/>
      <c r="I38" s="5">
        <f>D38*F38</f>
        <v>10</v>
      </c>
    </row>
    <row r="39" spans="2:11" x14ac:dyDescent="0.25">
      <c r="B39" s="4"/>
      <c r="C39" s="4" t="s">
        <v>193</v>
      </c>
      <c r="D39" s="4">
        <v>1</v>
      </c>
      <c r="E39" s="4" t="s">
        <v>69</v>
      </c>
      <c r="F39" s="72">
        <v>15</v>
      </c>
      <c r="G39" s="138"/>
      <c r="H39" s="138"/>
      <c r="I39" s="31">
        <f>D39*F39</f>
        <v>15</v>
      </c>
    </row>
    <row r="40" spans="2:11" ht="15.6" x14ac:dyDescent="0.3">
      <c r="B40" s="139" t="s">
        <v>75</v>
      </c>
      <c r="C40" s="140"/>
      <c r="D40" s="140"/>
      <c r="E40" s="140"/>
      <c r="F40" s="140"/>
      <c r="G40" s="140"/>
      <c r="H40" s="141"/>
      <c r="I40" s="115">
        <f>I33-(SUM(I36:I39))</f>
        <v>-84.601947063335857</v>
      </c>
      <c r="J40" t="s">
        <v>84</v>
      </c>
    </row>
    <row r="41" spans="2:11" x14ac:dyDescent="0.25">
      <c r="B41" s="4"/>
      <c r="C41" s="4"/>
      <c r="D41" s="4"/>
      <c r="E41" s="4"/>
      <c r="F41" s="4"/>
      <c r="G41" s="138"/>
      <c r="H41" s="138"/>
      <c r="I41" s="4"/>
    </row>
    <row r="42" spans="2:11" ht="15.6" x14ac:dyDescent="0.3">
      <c r="B42" s="161" t="str">
        <f>"Breakeven Yield at $" &amp; ROUND(F5,2) &amp;" /bushel"</f>
        <v>Breakeven Yield at $4.2 /bushel</v>
      </c>
      <c r="C42" s="162"/>
      <c r="D42" s="116">
        <f>I31/F5</f>
        <v>180.10860498339031</v>
      </c>
      <c r="E42" s="158" t="s">
        <v>76</v>
      </c>
      <c r="F42" s="159"/>
      <c r="G42" s="159"/>
      <c r="H42" s="159"/>
      <c r="I42" s="160"/>
      <c r="J42" s="23"/>
      <c r="K42" s="23"/>
    </row>
    <row r="43" spans="2:11" ht="15.6" x14ac:dyDescent="0.3">
      <c r="B43" s="161" t="str">
        <f>"Breakeven Cost at " &amp; ROUND(D5,0) &amp;" bu/acre"</f>
        <v>Breakeven Cost at 175 bu/acre</v>
      </c>
      <c r="C43" s="162"/>
      <c r="D43" s="117">
        <f>I31/D5</f>
        <v>4.3226065196013677</v>
      </c>
      <c r="E43" s="158" t="s">
        <v>153</v>
      </c>
      <c r="F43" s="159"/>
      <c r="G43" s="159"/>
      <c r="H43" s="159"/>
      <c r="I43" s="160"/>
      <c r="J43" s="23"/>
      <c r="K43" s="23"/>
    </row>
    <row r="44" spans="2:11" ht="15.6" x14ac:dyDescent="0.3">
      <c r="B44" s="161" t="str">
        <f>"Breakeven Cost at " &amp; ROUND(D5,0) &amp;" bu/acre"</f>
        <v>Breakeven Cost at 175 bu/acre</v>
      </c>
      <c r="C44" s="162"/>
      <c r="D44" s="117">
        <f>(I31+SUM(I36:I39))/D5</f>
        <v>4.7977254117904904</v>
      </c>
      <c r="E44" s="158" t="s">
        <v>154</v>
      </c>
      <c r="F44" s="159"/>
      <c r="G44" s="159"/>
      <c r="H44" s="159"/>
      <c r="I44" s="160"/>
    </row>
    <row r="45" spans="2:11" x14ac:dyDescent="0.25">
      <c r="B45" s="131"/>
      <c r="C45" s="131"/>
      <c r="D45" s="131"/>
      <c r="E45" s="131"/>
      <c r="F45" s="131"/>
      <c r="G45" s="131"/>
      <c r="H45" s="131"/>
      <c r="I45" s="131"/>
    </row>
    <row r="46" spans="2:11" x14ac:dyDescent="0.25">
      <c r="B46" s="133" t="s">
        <v>177</v>
      </c>
      <c r="C46" s="133"/>
      <c r="D46" s="133"/>
      <c r="E46" s="133"/>
      <c r="F46" s="133"/>
      <c r="G46" s="133"/>
      <c r="H46" s="133"/>
      <c r="I46" s="133"/>
    </row>
    <row r="47" spans="2:11" ht="13.2" customHeight="1" x14ac:dyDescent="0.25">
      <c r="B47" s="132" t="s">
        <v>179</v>
      </c>
      <c r="C47" s="131"/>
      <c r="D47" s="131"/>
      <c r="E47" s="131"/>
      <c r="F47" s="131"/>
      <c r="G47" s="131"/>
      <c r="H47" s="131"/>
      <c r="I47" s="131"/>
    </row>
    <row r="48" spans="2:11" ht="13.2" customHeight="1" x14ac:dyDescent="0.25">
      <c r="B48" s="132" t="s">
        <v>186</v>
      </c>
      <c r="C48" s="131"/>
      <c r="D48" s="131"/>
      <c r="E48" s="131"/>
      <c r="F48" s="131"/>
      <c r="G48" s="131"/>
      <c r="H48" s="131"/>
      <c r="I48" s="131"/>
    </row>
    <row r="49" spans="2:9" ht="13.2" customHeight="1" x14ac:dyDescent="0.25">
      <c r="B49" s="132" t="s">
        <v>191</v>
      </c>
      <c r="C49" s="131"/>
      <c r="D49" s="131"/>
      <c r="E49" s="131"/>
      <c r="F49" s="131"/>
      <c r="G49" s="131"/>
      <c r="H49" s="131"/>
      <c r="I49" s="131"/>
    </row>
    <row r="50" spans="2:9" x14ac:dyDescent="0.25">
      <c r="B50" s="132" t="s">
        <v>187</v>
      </c>
      <c r="C50" s="131"/>
      <c r="D50" s="131"/>
      <c r="E50" s="131"/>
      <c r="F50" s="131"/>
      <c r="G50" s="131"/>
      <c r="H50" s="131"/>
      <c r="I50" s="131"/>
    </row>
    <row r="51" spans="2:9" x14ac:dyDescent="0.25">
      <c r="B51" s="131"/>
      <c r="C51" s="131"/>
      <c r="D51" s="131"/>
      <c r="E51" s="131"/>
      <c r="F51" s="131"/>
      <c r="G51" s="131"/>
      <c r="H51" s="131"/>
      <c r="I51" s="131"/>
    </row>
    <row r="53" spans="2:9" hidden="1" x14ac:dyDescent="0.25">
      <c r="F53">
        <v>5</v>
      </c>
      <c r="G53" t="s">
        <v>100</v>
      </c>
    </row>
    <row r="54" spans="2:9" hidden="1" x14ac:dyDescent="0.25">
      <c r="F54">
        <v>6</v>
      </c>
      <c r="G54" t="s">
        <v>59</v>
      </c>
    </row>
    <row r="55" spans="2:9" hidden="1" x14ac:dyDescent="0.25">
      <c r="F55">
        <v>7</v>
      </c>
    </row>
    <row r="56" spans="2:9" hidden="1" x14ac:dyDescent="0.25">
      <c r="F56">
        <v>8</v>
      </c>
    </row>
  </sheetData>
  <sheetProtection algorithmName="SHA-512" hashValue="tq6yrXpcfMitAU2MtA+IpI5AWZbzkbX/TOT2B+gchOiRX94lcj+E31pgacdZGnwmDSW8cHeB4p/2IuYnSxRPdQ==" saltValue="402zqdfzxordG7nmQuf3Fw==" spinCount="100000" sheet="1" formatCells="0" formatColumns="0" formatRows="0"/>
  <mergeCells count="49">
    <mergeCell ref="B40:H40"/>
    <mergeCell ref="E44:I44"/>
    <mergeCell ref="B42:C42"/>
    <mergeCell ref="B43:C43"/>
    <mergeCell ref="B44:C44"/>
    <mergeCell ref="E42:I42"/>
    <mergeCell ref="E43:I43"/>
    <mergeCell ref="G41:H41"/>
    <mergeCell ref="B1:I1"/>
    <mergeCell ref="G3:H3"/>
    <mergeCell ref="G5:H5"/>
    <mergeCell ref="G7:H7"/>
    <mergeCell ref="D4:I4"/>
    <mergeCell ref="G2:H2"/>
    <mergeCell ref="G6:H6"/>
    <mergeCell ref="G14:H14"/>
    <mergeCell ref="G16:H16"/>
    <mergeCell ref="G8:H8"/>
    <mergeCell ref="G9:H9"/>
    <mergeCell ref="G11:H11"/>
    <mergeCell ref="G12:H12"/>
    <mergeCell ref="G13:H13"/>
    <mergeCell ref="G15:H15"/>
    <mergeCell ref="D10:I10"/>
    <mergeCell ref="G29:H29"/>
    <mergeCell ref="G31:H31"/>
    <mergeCell ref="G32:H32"/>
    <mergeCell ref="G17:H17"/>
    <mergeCell ref="G18:H18"/>
    <mergeCell ref="G19:H19"/>
    <mergeCell ref="G20:G23"/>
    <mergeCell ref="H20:H23"/>
    <mergeCell ref="G24:H24"/>
    <mergeCell ref="G27:H27"/>
    <mergeCell ref="G28:H28"/>
    <mergeCell ref="G25:H25"/>
    <mergeCell ref="G36:H37"/>
    <mergeCell ref="G38:H38"/>
    <mergeCell ref="G39:H39"/>
    <mergeCell ref="D35:I35"/>
    <mergeCell ref="B33:H33"/>
    <mergeCell ref="G34:H34"/>
    <mergeCell ref="B45:I45"/>
    <mergeCell ref="B50:I50"/>
    <mergeCell ref="B51:I51"/>
    <mergeCell ref="B46:I46"/>
    <mergeCell ref="B47:I47"/>
    <mergeCell ref="B48:I48"/>
    <mergeCell ref="B49:I49"/>
  </mergeCells>
  <phoneticPr fontId="6" type="noConversion"/>
  <dataValidations count="2">
    <dataValidation type="list" allowBlank="1" showInputMessage="1" showErrorMessage="1" sqref="H20:H23" xr:uid="{00000000-0002-0000-0400-000000000000}">
      <formula1>$G$53:$G$54</formula1>
    </dataValidation>
    <dataValidation type="list" allowBlank="1" showInputMessage="1" showErrorMessage="1" sqref="H30" xr:uid="{00000000-0002-0000-0400-000001000000}">
      <formula1>$F$53:$F$56</formula1>
    </dataValidation>
  </dataValidations>
  <pageMargins left="0.75" right="0.75" top="1" bottom="1" header="0.5" footer="0.5"/>
  <pageSetup scale="88" orientation="portrait" r:id="rId1"/>
  <headerFooter alignWithMargins="0"/>
  <ignoredErrors>
    <ignoredError sqref="I26" 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88"/>
  <sheetViews>
    <sheetView workbookViewId="0">
      <pane ySplit="16" topLeftCell="A17" activePane="bottomLeft" state="frozen"/>
      <selection activeCell="H25" sqref="H25"/>
      <selection pane="bottomLeft" activeCell="B68" sqref="B68"/>
    </sheetView>
  </sheetViews>
  <sheetFormatPr defaultRowHeight="13.2" x14ac:dyDescent="0.25"/>
  <cols>
    <col min="1" max="1" width="32.44140625" customWidth="1"/>
    <col min="4" max="4" width="9.6640625" customWidth="1"/>
    <col min="5" max="5" width="8.5546875" customWidth="1"/>
    <col min="6" max="6" width="7.88671875" customWidth="1"/>
    <col min="7" max="7" width="9" customWidth="1"/>
    <col min="8" max="8" width="7.5546875" customWidth="1"/>
    <col min="9" max="10" width="7.109375" customWidth="1"/>
    <col min="11" max="11" width="0" hidden="1" customWidth="1"/>
    <col min="12" max="12" width="8.44140625" hidden="1" customWidth="1"/>
    <col min="13" max="13" width="8.6640625" hidden="1" customWidth="1"/>
    <col min="14" max="14" width="4.6640625" customWidth="1"/>
    <col min="15" max="15" width="8.5546875" customWidth="1"/>
    <col min="16" max="16" width="8.109375" customWidth="1"/>
    <col min="17" max="17" width="8.6640625" customWidth="1"/>
    <col min="18" max="18" width="8.44140625" customWidth="1"/>
    <col min="19" max="19" width="8.5546875" customWidth="1"/>
    <col min="20" max="20" width="8.44140625" customWidth="1"/>
  </cols>
  <sheetData>
    <row r="1" spans="1:20" ht="17.399999999999999" x14ac:dyDescent="0.3">
      <c r="A1" s="166" t="s">
        <v>130</v>
      </c>
      <c r="B1" s="167"/>
      <c r="C1" s="167"/>
      <c r="D1" s="167"/>
      <c r="E1" s="167"/>
      <c r="F1" s="167"/>
      <c r="G1" s="167"/>
      <c r="H1" s="167"/>
      <c r="I1" s="167"/>
      <c r="J1" s="167"/>
      <c r="K1" s="167"/>
      <c r="L1" s="167"/>
      <c r="M1" s="167"/>
      <c r="N1" s="167"/>
      <c r="O1" s="167"/>
      <c r="P1" s="167"/>
      <c r="Q1" s="167"/>
      <c r="R1" s="167"/>
      <c r="S1" s="167"/>
      <c r="T1" s="168"/>
    </row>
    <row r="2" spans="1:20" x14ac:dyDescent="0.25">
      <c r="A2" s="29" t="s">
        <v>233</v>
      </c>
      <c r="B2" s="107">
        <v>4</v>
      </c>
      <c r="C2" s="4"/>
      <c r="D2" s="49"/>
      <c r="E2" s="169" t="s">
        <v>120</v>
      </c>
      <c r="F2" s="164"/>
      <c r="G2" s="164"/>
      <c r="H2" s="164"/>
      <c r="I2" s="164"/>
      <c r="J2" s="164"/>
      <c r="K2" s="164"/>
      <c r="L2" s="164"/>
      <c r="M2" s="164"/>
      <c r="N2" s="164"/>
      <c r="O2" s="164"/>
      <c r="P2" s="164"/>
      <c r="Q2" s="164"/>
      <c r="R2" s="164"/>
      <c r="S2" s="164"/>
      <c r="T2" s="125"/>
    </row>
    <row r="3" spans="1:20" x14ac:dyDescent="0.25">
      <c r="A3" s="29" t="s">
        <v>232</v>
      </c>
      <c r="B3" s="30">
        <f>'Machinery Calculations'!C6</f>
        <v>2.75</v>
      </c>
      <c r="C3" s="16"/>
      <c r="D3" s="42"/>
      <c r="E3" s="163" t="s">
        <v>108</v>
      </c>
      <c r="F3" s="164"/>
      <c r="G3" s="164"/>
      <c r="H3" s="164"/>
      <c r="I3" s="164"/>
      <c r="J3" s="164"/>
      <c r="K3" s="164"/>
      <c r="L3" s="164"/>
      <c r="M3" s="164"/>
      <c r="N3" s="164"/>
      <c r="O3" s="164"/>
      <c r="P3" s="164"/>
      <c r="Q3" s="164"/>
      <c r="R3" s="164"/>
      <c r="S3" s="164"/>
      <c r="T3" s="125"/>
    </row>
    <row r="4" spans="1:20" x14ac:dyDescent="0.25">
      <c r="A4" s="4" t="s">
        <v>77</v>
      </c>
      <c r="B4" s="30">
        <f>'Machinery Calculations'!C7</f>
        <v>25</v>
      </c>
      <c r="C4" s="16"/>
      <c r="D4" s="42"/>
      <c r="E4" s="163" t="s">
        <v>110</v>
      </c>
      <c r="F4" s="164"/>
      <c r="G4" s="164"/>
      <c r="H4" s="164"/>
      <c r="I4" s="164"/>
      <c r="J4" s="164"/>
      <c r="K4" s="164"/>
      <c r="L4" s="164"/>
      <c r="M4" s="164"/>
      <c r="N4" s="164"/>
      <c r="O4" s="164"/>
      <c r="P4" s="164"/>
      <c r="Q4" s="164"/>
      <c r="R4" s="164"/>
      <c r="S4" s="164"/>
      <c r="T4" s="125"/>
    </row>
    <row r="5" spans="1:20" x14ac:dyDescent="0.25">
      <c r="A5" s="4" t="s">
        <v>125</v>
      </c>
      <c r="B5" s="30" t="str">
        <f>'Machinery Calculations'!C8</f>
        <v>Y</v>
      </c>
      <c r="C5" s="16"/>
      <c r="D5" s="42"/>
      <c r="E5" s="163" t="s">
        <v>116</v>
      </c>
      <c r="F5" s="164"/>
      <c r="G5" s="164"/>
      <c r="H5" s="164"/>
      <c r="I5" s="164"/>
      <c r="J5" s="164"/>
      <c r="K5" s="164"/>
      <c r="L5" s="164"/>
      <c r="M5" s="164"/>
      <c r="N5" s="164"/>
      <c r="O5" s="164"/>
      <c r="P5" s="164"/>
      <c r="Q5" s="164"/>
      <c r="R5" s="164"/>
      <c r="S5" s="164"/>
      <c r="T5" s="125"/>
    </row>
    <row r="6" spans="1:20" x14ac:dyDescent="0.25">
      <c r="A6" s="4" t="s">
        <v>78</v>
      </c>
      <c r="B6" s="30">
        <f>'Machinery Calculations'!C9</f>
        <v>25</v>
      </c>
      <c r="C6" s="16"/>
      <c r="D6" s="42"/>
      <c r="E6" s="163" t="s">
        <v>109</v>
      </c>
      <c r="F6" s="164"/>
      <c r="G6" s="164"/>
      <c r="H6" s="164"/>
      <c r="I6" s="164"/>
      <c r="J6" s="164"/>
      <c r="K6" s="164"/>
      <c r="L6" s="164"/>
      <c r="M6" s="164"/>
      <c r="N6" s="164"/>
      <c r="O6" s="164"/>
      <c r="P6" s="164"/>
      <c r="Q6" s="164"/>
      <c r="R6" s="164"/>
      <c r="S6" s="164"/>
      <c r="T6" s="125"/>
    </row>
    <row r="7" spans="1:20" x14ac:dyDescent="0.25">
      <c r="A7" s="4" t="s">
        <v>79</v>
      </c>
      <c r="B7" s="52">
        <f>'Machinery Calculations'!C10</f>
        <v>0</v>
      </c>
      <c r="C7" s="16"/>
      <c r="D7" s="42"/>
      <c r="E7" s="163" t="s">
        <v>117</v>
      </c>
      <c r="F7" s="164"/>
      <c r="G7" s="164"/>
      <c r="H7" s="164"/>
      <c r="I7" s="164"/>
      <c r="J7" s="164"/>
      <c r="K7" s="164"/>
      <c r="L7" s="164"/>
      <c r="M7" s="164"/>
      <c r="N7" s="164"/>
      <c r="O7" s="164"/>
      <c r="P7" s="164"/>
      <c r="Q7" s="164"/>
      <c r="R7" s="164"/>
      <c r="S7" s="164"/>
      <c r="T7" s="125"/>
    </row>
    <row r="8" spans="1:20" x14ac:dyDescent="0.25">
      <c r="A8" s="4" t="s">
        <v>113</v>
      </c>
      <c r="B8" s="53">
        <f>'Machinery Calculations'!C11</f>
        <v>75</v>
      </c>
      <c r="C8" s="16"/>
      <c r="D8" s="42"/>
      <c r="E8" s="163" t="s">
        <v>129</v>
      </c>
      <c r="F8" s="164"/>
      <c r="G8" s="164"/>
      <c r="H8" s="164"/>
      <c r="I8" s="164"/>
      <c r="J8" s="164"/>
      <c r="K8" s="164"/>
      <c r="L8" s="164"/>
      <c r="M8" s="164"/>
      <c r="N8" s="164"/>
      <c r="O8" s="164"/>
      <c r="P8" s="164"/>
      <c r="Q8" s="164"/>
      <c r="R8" s="164"/>
      <c r="S8" s="164"/>
      <c r="T8" s="125"/>
    </row>
    <row r="9" spans="1:20" hidden="1" x14ac:dyDescent="0.25">
      <c r="A9" s="165" t="s">
        <v>114</v>
      </c>
      <c r="B9" s="164"/>
      <c r="C9" s="164"/>
      <c r="D9" s="125"/>
      <c r="E9" s="163" t="s">
        <v>118</v>
      </c>
      <c r="F9" s="164"/>
      <c r="G9" s="164"/>
      <c r="H9" s="164"/>
      <c r="I9" s="164"/>
      <c r="J9" s="164"/>
      <c r="K9" s="164"/>
      <c r="L9" s="164"/>
      <c r="M9" s="164"/>
      <c r="N9" s="164"/>
      <c r="O9" s="164"/>
      <c r="P9" s="164"/>
      <c r="Q9" s="164"/>
      <c r="R9" s="164"/>
      <c r="S9" s="164"/>
      <c r="T9" s="125"/>
    </row>
    <row r="10" spans="1:20" hidden="1" x14ac:dyDescent="0.25">
      <c r="A10" s="165" t="s">
        <v>115</v>
      </c>
      <c r="B10" s="164"/>
      <c r="C10" s="164"/>
      <c r="D10" s="125"/>
      <c r="E10" s="163" t="s">
        <v>131</v>
      </c>
      <c r="F10" s="164"/>
      <c r="G10" s="164"/>
      <c r="H10" s="164"/>
      <c r="I10" s="164"/>
      <c r="J10" s="164"/>
      <c r="K10" s="164"/>
      <c r="L10" s="164"/>
      <c r="M10" s="164"/>
      <c r="N10" s="164"/>
      <c r="O10" s="164"/>
      <c r="P10" s="164"/>
      <c r="Q10" s="164"/>
      <c r="R10" s="164"/>
      <c r="S10" s="164"/>
      <c r="T10" s="125"/>
    </row>
    <row r="11" spans="1:20" hidden="1" x14ac:dyDescent="0.25">
      <c r="A11" s="165" t="s">
        <v>128</v>
      </c>
      <c r="B11" s="164"/>
      <c r="C11" s="164"/>
      <c r="D11" s="125"/>
      <c r="E11" s="163" t="s">
        <v>132</v>
      </c>
      <c r="F11" s="164"/>
      <c r="G11" s="164"/>
      <c r="H11" s="164"/>
      <c r="I11" s="164"/>
      <c r="J11" s="164"/>
      <c r="K11" s="164"/>
      <c r="L11" s="164"/>
      <c r="M11" s="164"/>
      <c r="N11" s="164"/>
      <c r="O11" s="164"/>
      <c r="P11" s="164"/>
      <c r="Q11" s="164"/>
      <c r="R11" s="164"/>
      <c r="S11" s="164"/>
      <c r="T11" s="125"/>
    </row>
    <row r="12" spans="1:20" hidden="1" x14ac:dyDescent="0.25">
      <c r="A12" s="4" t="s">
        <v>92</v>
      </c>
      <c r="B12" s="17">
        <v>0.33</v>
      </c>
      <c r="C12" s="17"/>
      <c r="D12" s="43"/>
      <c r="E12" s="157"/>
      <c r="F12" s="164"/>
      <c r="G12" s="164"/>
      <c r="H12" s="164"/>
      <c r="I12" s="164"/>
      <c r="J12" s="164"/>
      <c r="K12" s="164"/>
      <c r="L12" s="164"/>
      <c r="M12" s="164"/>
      <c r="N12" s="164"/>
      <c r="O12" s="164"/>
      <c r="P12" s="164"/>
      <c r="Q12" s="164"/>
      <c r="R12" s="164"/>
      <c r="S12" s="164"/>
      <c r="T12" s="125"/>
    </row>
    <row r="13" spans="1:20" ht="13.2" customHeight="1" x14ac:dyDescent="0.25">
      <c r="A13" s="4"/>
      <c r="B13" s="50"/>
      <c r="C13" s="50"/>
      <c r="D13" s="50"/>
      <c r="E13" s="170" t="s">
        <v>111</v>
      </c>
      <c r="F13" s="171"/>
      <c r="G13" s="171"/>
      <c r="H13" s="171"/>
      <c r="I13" s="171"/>
      <c r="J13" s="171"/>
      <c r="K13" s="171"/>
      <c r="L13" s="171"/>
      <c r="M13" s="171"/>
      <c r="N13" s="172"/>
      <c r="O13" s="180" t="s">
        <v>106</v>
      </c>
      <c r="P13" s="181"/>
      <c r="Q13" s="181"/>
      <c r="R13" s="181"/>
      <c r="S13" s="181"/>
      <c r="T13" s="182"/>
    </row>
    <row r="14" spans="1:20" x14ac:dyDescent="0.25">
      <c r="A14" s="4" t="s">
        <v>176</v>
      </c>
      <c r="B14" s="65">
        <v>0.75</v>
      </c>
      <c r="C14" s="50"/>
      <c r="D14" s="50"/>
      <c r="E14" s="173"/>
      <c r="F14" s="174"/>
      <c r="G14" s="174"/>
      <c r="H14" s="174"/>
      <c r="I14" s="174"/>
      <c r="J14" s="174"/>
      <c r="K14" s="174"/>
      <c r="L14" s="174"/>
      <c r="M14" s="174"/>
      <c r="N14" s="175"/>
      <c r="O14" s="54" t="str">
        <f>'Machinery Calculations'!$C4</f>
        <v>Increase</v>
      </c>
      <c r="P14" s="54" t="str">
        <f>'Machinery Calculations'!$C4</f>
        <v>Increase</v>
      </c>
      <c r="Q14" s="54" t="str">
        <f>'Machinery Calculations'!$C4</f>
        <v>Increase</v>
      </c>
      <c r="R14" s="54" t="str">
        <f>'Machinery Calculations'!$C4</f>
        <v>Increase</v>
      </c>
      <c r="S14" s="54" t="str">
        <f>'Machinery Calculations'!$C4</f>
        <v>Increase</v>
      </c>
      <c r="T14" s="54" t="str">
        <f>'Machinery Calculations'!$C4</f>
        <v>Increase</v>
      </c>
    </row>
    <row r="15" spans="1:20" x14ac:dyDescent="0.25">
      <c r="A15" s="4"/>
      <c r="B15" s="50"/>
      <c r="C15" s="50"/>
      <c r="D15" s="50"/>
      <c r="E15" s="176"/>
      <c r="F15" s="177"/>
      <c r="G15" s="177"/>
      <c r="H15" s="177"/>
      <c r="I15" s="177"/>
      <c r="J15" s="177"/>
      <c r="K15" s="177"/>
      <c r="L15" s="177"/>
      <c r="M15" s="177"/>
      <c r="N15" s="178"/>
      <c r="O15" s="52">
        <f>'Machinery Calculations'!$C5</f>
        <v>0.15</v>
      </c>
      <c r="P15" s="52">
        <f>'Machinery Calculations'!$C5</f>
        <v>0.15</v>
      </c>
      <c r="Q15" s="52">
        <f>'Machinery Calculations'!$C5</f>
        <v>0.15</v>
      </c>
      <c r="R15" s="52">
        <f>'Machinery Calculations'!$C5</f>
        <v>0.15</v>
      </c>
      <c r="S15" s="52">
        <f>'Machinery Calculations'!$C5</f>
        <v>0.15</v>
      </c>
      <c r="T15" s="52">
        <f>'Machinery Calculations'!$C5</f>
        <v>0.15</v>
      </c>
    </row>
    <row r="16" spans="1:20" s="1" customFormat="1" ht="43.2" customHeight="1" x14ac:dyDescent="0.25">
      <c r="A16" s="3" t="s">
        <v>0</v>
      </c>
      <c r="B16" s="33" t="s">
        <v>1</v>
      </c>
      <c r="C16" s="33" t="s">
        <v>119</v>
      </c>
      <c r="D16" s="33" t="s">
        <v>127</v>
      </c>
      <c r="E16" s="64" t="s">
        <v>237</v>
      </c>
      <c r="F16" s="3" t="s">
        <v>10</v>
      </c>
      <c r="G16" s="3" t="s">
        <v>2</v>
      </c>
      <c r="H16" s="3" t="s">
        <v>6</v>
      </c>
      <c r="I16" s="3" t="s">
        <v>3</v>
      </c>
      <c r="J16" s="3" t="s">
        <v>4</v>
      </c>
      <c r="K16" s="3" t="s">
        <v>7</v>
      </c>
      <c r="L16" s="3" t="s">
        <v>8</v>
      </c>
      <c r="M16" s="3" t="s">
        <v>9</v>
      </c>
      <c r="N16" s="3"/>
      <c r="O16" s="3" t="s">
        <v>96</v>
      </c>
      <c r="P16" s="3" t="s">
        <v>98</v>
      </c>
      <c r="Q16" s="3" t="s">
        <v>80</v>
      </c>
      <c r="R16" s="3" t="s">
        <v>8</v>
      </c>
      <c r="S16" s="3" t="s">
        <v>99</v>
      </c>
      <c r="T16" s="3" t="s">
        <v>58</v>
      </c>
    </row>
    <row r="17" spans="1:20" x14ac:dyDescent="0.25">
      <c r="A17" s="4"/>
      <c r="B17" s="34"/>
      <c r="C17" s="32"/>
      <c r="D17" s="44"/>
      <c r="E17" s="4"/>
      <c r="F17" s="4"/>
      <c r="G17" s="4"/>
      <c r="H17" s="4"/>
      <c r="I17" s="4"/>
      <c r="J17" s="4"/>
      <c r="K17" s="4"/>
      <c r="L17" s="4"/>
      <c r="M17" s="4"/>
      <c r="N17" s="4"/>
      <c r="O17" s="4"/>
      <c r="P17" s="4"/>
      <c r="Q17" s="4"/>
      <c r="R17" s="4"/>
      <c r="S17" s="4"/>
      <c r="T17" s="4"/>
    </row>
    <row r="18" spans="1:20" x14ac:dyDescent="0.25">
      <c r="A18" s="12" t="s">
        <v>11</v>
      </c>
      <c r="B18" s="35"/>
      <c r="C18" s="36"/>
      <c r="D18" s="45"/>
      <c r="E18" s="9"/>
      <c r="F18" s="9"/>
      <c r="G18" s="4"/>
      <c r="H18" s="4"/>
      <c r="I18" s="4"/>
      <c r="J18" s="4"/>
      <c r="K18" s="4"/>
      <c r="L18" s="4"/>
      <c r="M18" s="4"/>
      <c r="N18" s="4"/>
      <c r="O18" s="4"/>
      <c r="P18" s="4"/>
      <c r="Q18" s="4"/>
      <c r="R18" s="4"/>
      <c r="S18" s="4"/>
      <c r="T18" s="4"/>
    </row>
    <row r="19" spans="1:20" x14ac:dyDescent="0.25">
      <c r="A19" s="4" t="s">
        <v>12</v>
      </c>
      <c r="B19" s="37"/>
      <c r="C19" s="38"/>
      <c r="D19" s="46"/>
      <c r="E19" s="9"/>
      <c r="F19" s="9">
        <f>IF(D19&gt;0,D19,E19-(G19*B$2*1.05)+H19-I19*12.5+J19)</f>
        <v>0.42800194654882251</v>
      </c>
      <c r="G19" s="13">
        <v>2.06175</v>
      </c>
      <c r="H19" s="5">
        <f t="shared" ref="H19:H28" si="0">G19*B$3*1.05</f>
        <v>5.9533031250000006</v>
      </c>
      <c r="I19" s="14">
        <v>0.25072390572390574</v>
      </c>
      <c r="J19" s="5">
        <f>I19*B$4*(1-B$7)+I19*B$6*(B$7)</f>
        <v>6.2680976430976436</v>
      </c>
      <c r="K19" s="5">
        <f>F19-H19-J19</f>
        <v>-11.793398821548822</v>
      </c>
      <c r="L19" s="5">
        <f t="shared" ref="L19:L28" si="1">K19*B$12</f>
        <v>-3.8918216111111112</v>
      </c>
      <c r="M19" s="5">
        <f>K19-L19</f>
        <v>-7.9015772104377104</v>
      </c>
      <c r="N19" s="4"/>
      <c r="O19" s="5">
        <f t="shared" ref="O19:O28" si="2">IF(O$14="Increase",IF(C19="y",0,IF($B19&gt;0,H19*$B19*(1+O$15),0)),IF(C19="y",0,IF($B19&gt;0,H19*$B19*(1-O$15),0)))</f>
        <v>0</v>
      </c>
      <c r="P19" s="5">
        <f t="shared" ref="P19:P28" si="3">IF(P$14="Increase",IF(C19="y",0,IF($B19&gt;0,(I19*B$4*(1-B$7))*$B19*(1+P$15),0)),IF(C19="y",0,IF($B19&gt;0,(I19*B$4*(1-B$7))*$B19*(1-P$15),0)))</f>
        <v>0</v>
      </c>
      <c r="Q19" s="5">
        <f t="shared" ref="Q19:Q28" si="4">IF(Q$14="Increase",IF(C19="y",0,IF($B19&gt;0,(I19*B$6*(B$7))*$B19*(1+Q$15),0)),IF(C19="y",0,IF($B19&gt;0,(I19*B$6*(B$7))*$B19*(1-Q$15),0)))</f>
        <v>0</v>
      </c>
      <c r="R19" s="5">
        <f t="shared" ref="R19:R28" si="5">IF(R$14="Increase",IF(C19="y",0,IF($B19&gt;0,L19*$B19*(1+R$15),0)),IF(C19="y",0,IF($B19&gt;0,L19*$B19*(1-R$15),0)))</f>
        <v>0</v>
      </c>
      <c r="S19" s="5">
        <f t="shared" ref="S19:S28" si="6">IF(S$14="Increase",IF(C19="y",0,IF($B19&gt;0,M19*$B19*(1+S$15),0)),IF(C19="y",0,IF($B19&gt;0,M19*$B19*(1-S$15),0)))</f>
        <v>0</v>
      </c>
      <c r="T19" s="5">
        <f t="shared" ref="T19:T28" si="7">IF(T$14="Increase",IF(C19="y",F19*B19*(1+T$15),0),IF(C19="y",F19*B19*(1-T$15),0))</f>
        <v>0</v>
      </c>
    </row>
    <row r="20" spans="1:20" x14ac:dyDescent="0.25">
      <c r="A20" s="4" t="s">
        <v>13</v>
      </c>
      <c r="B20" s="37"/>
      <c r="C20" s="38"/>
      <c r="D20" s="46"/>
      <c r="E20" s="9"/>
      <c r="F20" s="9">
        <f t="shared" ref="F20:F28" si="8">IF(D20&gt;0,D20,E20-(G20*B$2*1.05)+H20-I20*12.5+J20)</f>
        <v>-0.55412878787878883</v>
      </c>
      <c r="G20" s="13">
        <v>1.06</v>
      </c>
      <c r="H20" s="5">
        <f t="shared" si="0"/>
        <v>3.0607500000000001</v>
      </c>
      <c r="I20" s="14">
        <v>6.6969696969696971E-2</v>
      </c>
      <c r="J20" s="5">
        <f t="shared" ref="J20:J22" si="9">I20*B$4*(1-B$7)+I20*B$6*(B$7)</f>
        <v>1.6742424242424243</v>
      </c>
      <c r="K20" s="5">
        <f t="shared" ref="K20:K28" si="10">F20-H20-J20</f>
        <v>-5.2891212121212128</v>
      </c>
      <c r="L20" s="5">
        <f t="shared" si="1"/>
        <v>-1.7454100000000004</v>
      </c>
      <c r="M20" s="5">
        <f t="shared" ref="M20:M28" si="11">K20-L20</f>
        <v>-3.5437112121212122</v>
      </c>
      <c r="N20" s="4"/>
      <c r="O20" s="5">
        <f t="shared" si="2"/>
        <v>0</v>
      </c>
      <c r="P20" s="5">
        <f t="shared" si="3"/>
        <v>0</v>
      </c>
      <c r="Q20" s="5">
        <f t="shared" si="4"/>
        <v>0</v>
      </c>
      <c r="R20" s="5">
        <f t="shared" si="5"/>
        <v>0</v>
      </c>
      <c r="S20" s="5">
        <f t="shared" si="6"/>
        <v>0</v>
      </c>
      <c r="T20" s="5">
        <f t="shared" si="7"/>
        <v>0</v>
      </c>
    </row>
    <row r="21" spans="1:20" x14ac:dyDescent="0.25">
      <c r="A21" s="4" t="s">
        <v>14</v>
      </c>
      <c r="B21" s="37"/>
      <c r="C21" s="38"/>
      <c r="D21" s="46"/>
      <c r="E21" s="9"/>
      <c r="F21" s="9">
        <f t="shared" si="8"/>
        <v>0.46511489898989877</v>
      </c>
      <c r="G21" s="13">
        <v>0.90200000000000002</v>
      </c>
      <c r="H21" s="5">
        <f t="shared" si="0"/>
        <v>2.6045250000000002</v>
      </c>
      <c r="I21" s="14">
        <v>0.13191919191919191</v>
      </c>
      <c r="J21" s="5">
        <f t="shared" si="9"/>
        <v>3.2979797979797976</v>
      </c>
      <c r="K21" s="5">
        <f t="shared" si="10"/>
        <v>-5.437389898989899</v>
      </c>
      <c r="L21" s="5">
        <f t="shared" si="1"/>
        <v>-1.7943386666666667</v>
      </c>
      <c r="M21" s="5">
        <f t="shared" si="11"/>
        <v>-3.6430512323232325</v>
      </c>
      <c r="N21" s="4"/>
      <c r="O21" s="5">
        <f t="shared" si="2"/>
        <v>0</v>
      </c>
      <c r="P21" s="5">
        <f t="shared" si="3"/>
        <v>0</v>
      </c>
      <c r="Q21" s="5">
        <f t="shared" si="4"/>
        <v>0</v>
      </c>
      <c r="R21" s="5">
        <f t="shared" si="5"/>
        <v>0</v>
      </c>
      <c r="S21" s="5">
        <f t="shared" si="6"/>
        <v>0</v>
      </c>
      <c r="T21" s="5">
        <f t="shared" si="7"/>
        <v>0</v>
      </c>
    </row>
    <row r="22" spans="1:20" x14ac:dyDescent="0.25">
      <c r="A22" s="4" t="s">
        <v>15</v>
      </c>
      <c r="B22" s="37"/>
      <c r="C22" s="38"/>
      <c r="D22" s="46"/>
      <c r="E22" s="9"/>
      <c r="F22" s="9">
        <f t="shared" si="8"/>
        <v>-0.69511574074074201</v>
      </c>
      <c r="G22" s="13">
        <v>1.87</v>
      </c>
      <c r="H22" s="5">
        <f t="shared" si="0"/>
        <v>5.3996250000000003</v>
      </c>
      <c r="I22" s="14">
        <v>0.14074074074074072</v>
      </c>
      <c r="J22" s="5">
        <f t="shared" si="9"/>
        <v>3.5185185185185182</v>
      </c>
      <c r="K22" s="5">
        <f t="shared" si="10"/>
        <v>-9.6132592592592605</v>
      </c>
      <c r="L22" s="5">
        <f t="shared" si="1"/>
        <v>-3.1723755555555559</v>
      </c>
      <c r="M22" s="5">
        <f t="shared" si="11"/>
        <v>-6.4408837037037046</v>
      </c>
      <c r="N22" s="4"/>
      <c r="O22" s="5">
        <f t="shared" si="2"/>
        <v>0</v>
      </c>
      <c r="P22" s="5">
        <f t="shared" si="3"/>
        <v>0</v>
      </c>
      <c r="Q22" s="5">
        <f t="shared" si="4"/>
        <v>0</v>
      </c>
      <c r="R22" s="5">
        <f t="shared" si="5"/>
        <v>0</v>
      </c>
      <c r="S22" s="5">
        <f t="shared" si="6"/>
        <v>0</v>
      </c>
      <c r="T22" s="5">
        <f t="shared" si="7"/>
        <v>0</v>
      </c>
    </row>
    <row r="23" spans="1:20" x14ac:dyDescent="0.25">
      <c r="A23" s="7"/>
      <c r="B23" s="37"/>
      <c r="C23" s="38"/>
      <c r="D23" s="46"/>
      <c r="E23" s="9"/>
      <c r="F23" s="9"/>
      <c r="G23" s="13"/>
      <c r="H23" s="5"/>
      <c r="I23" s="14"/>
      <c r="J23" s="5"/>
      <c r="K23" s="5"/>
      <c r="L23" s="5"/>
      <c r="M23" s="5"/>
      <c r="N23" s="4"/>
      <c r="O23" s="5"/>
      <c r="P23" s="5"/>
      <c r="Q23" s="5"/>
      <c r="R23" s="5"/>
      <c r="S23" s="5"/>
      <c r="T23" s="5"/>
    </row>
    <row r="24" spans="1:20" x14ac:dyDescent="0.25">
      <c r="A24" s="4" t="s">
        <v>16</v>
      </c>
      <c r="B24" s="37"/>
      <c r="C24" s="38"/>
      <c r="D24" s="46"/>
      <c r="E24" s="9"/>
      <c r="F24" s="9">
        <f t="shared" si="8"/>
        <v>-0.24008585858585874</v>
      </c>
      <c r="G24" s="13">
        <v>0.62400000000000011</v>
      </c>
      <c r="H24" s="5">
        <f t="shared" si="0"/>
        <v>1.8018000000000003</v>
      </c>
      <c r="I24" s="14">
        <v>4.631313131313132E-2</v>
      </c>
      <c r="J24" s="5">
        <f t="shared" ref="J24:J28" si="12">I24*B$4*(1-B$7)+I24*B$6*(B$7)</f>
        <v>1.1578282828282831</v>
      </c>
      <c r="K24" s="5">
        <f t="shared" si="10"/>
        <v>-3.1997141414141419</v>
      </c>
      <c r="L24" s="5">
        <f t="shared" si="1"/>
        <v>-1.0559056666666669</v>
      </c>
      <c r="M24" s="5">
        <f t="shared" si="11"/>
        <v>-2.143808474747475</v>
      </c>
      <c r="N24" s="4"/>
      <c r="O24" s="5">
        <f t="shared" si="2"/>
        <v>0</v>
      </c>
      <c r="P24" s="5">
        <f t="shared" si="3"/>
        <v>0</v>
      </c>
      <c r="Q24" s="5">
        <f t="shared" si="4"/>
        <v>0</v>
      </c>
      <c r="R24" s="5">
        <f t="shared" si="5"/>
        <v>0</v>
      </c>
      <c r="S24" s="5">
        <f t="shared" si="6"/>
        <v>0</v>
      </c>
      <c r="T24" s="5">
        <f t="shared" si="7"/>
        <v>0</v>
      </c>
    </row>
    <row r="25" spans="1:20" x14ac:dyDescent="0.25">
      <c r="A25" s="4" t="s">
        <v>17</v>
      </c>
      <c r="B25" s="37"/>
      <c r="C25" s="38"/>
      <c r="D25" s="46"/>
      <c r="E25" s="9"/>
      <c r="F25" s="9">
        <f t="shared" si="8"/>
        <v>0.7442727272727272</v>
      </c>
      <c r="G25" s="13">
        <v>0.36799999999999999</v>
      </c>
      <c r="H25" s="5">
        <f t="shared" si="0"/>
        <v>1.0626</v>
      </c>
      <c r="I25" s="14">
        <v>9.818181818181819E-2</v>
      </c>
      <c r="J25" s="5">
        <f t="shared" si="12"/>
        <v>2.4545454545454546</v>
      </c>
      <c r="K25" s="5">
        <f t="shared" si="10"/>
        <v>-2.7728727272727274</v>
      </c>
      <c r="L25" s="5">
        <f t="shared" si="1"/>
        <v>-0.91504800000000008</v>
      </c>
      <c r="M25" s="5">
        <f t="shared" si="11"/>
        <v>-1.8578247272727273</v>
      </c>
      <c r="N25" s="4"/>
      <c r="O25" s="5">
        <f t="shared" si="2"/>
        <v>0</v>
      </c>
      <c r="P25" s="5">
        <f t="shared" si="3"/>
        <v>0</v>
      </c>
      <c r="Q25" s="5">
        <f t="shared" si="4"/>
        <v>0</v>
      </c>
      <c r="R25" s="5">
        <f t="shared" si="5"/>
        <v>0</v>
      </c>
      <c r="S25" s="5">
        <f t="shared" si="6"/>
        <v>0</v>
      </c>
      <c r="T25" s="5">
        <f t="shared" si="7"/>
        <v>0</v>
      </c>
    </row>
    <row r="26" spans="1:20" x14ac:dyDescent="0.25">
      <c r="A26" s="4" t="s">
        <v>18</v>
      </c>
      <c r="B26" s="37"/>
      <c r="C26" s="38"/>
      <c r="D26" s="46"/>
      <c r="E26" s="9"/>
      <c r="F26" s="9">
        <f t="shared" si="8"/>
        <v>-0.48448579545454518</v>
      </c>
      <c r="G26" s="13">
        <v>2.3344999999999998</v>
      </c>
      <c r="H26" s="5">
        <f t="shared" si="0"/>
        <v>6.7408687499999997</v>
      </c>
      <c r="I26" s="14">
        <v>0.20636363636363636</v>
      </c>
      <c r="J26" s="5">
        <f t="shared" si="12"/>
        <v>5.1590909090909092</v>
      </c>
      <c r="K26" s="5">
        <f t="shared" si="10"/>
        <v>-12.384445454545453</v>
      </c>
      <c r="L26" s="5">
        <f t="shared" si="1"/>
        <v>-4.0868669999999998</v>
      </c>
      <c r="M26" s="5">
        <f t="shared" si="11"/>
        <v>-8.2975784545454534</v>
      </c>
      <c r="N26" s="4"/>
      <c r="O26" s="5">
        <f t="shared" si="2"/>
        <v>0</v>
      </c>
      <c r="P26" s="5">
        <f t="shared" si="3"/>
        <v>0</v>
      </c>
      <c r="Q26" s="5">
        <f t="shared" si="4"/>
        <v>0</v>
      </c>
      <c r="R26" s="5">
        <f t="shared" si="5"/>
        <v>0</v>
      </c>
      <c r="S26" s="5">
        <f t="shared" si="6"/>
        <v>0</v>
      </c>
      <c r="T26" s="5">
        <f t="shared" si="7"/>
        <v>0</v>
      </c>
    </row>
    <row r="27" spans="1:20" x14ac:dyDescent="0.25">
      <c r="A27" s="4" t="s">
        <v>19</v>
      </c>
      <c r="B27" s="37"/>
      <c r="C27" s="38"/>
      <c r="D27" s="46"/>
      <c r="E27" s="9"/>
      <c r="F27" s="9">
        <f t="shared" si="8"/>
        <v>-0.90915135732323105</v>
      </c>
      <c r="G27" s="13">
        <v>1.9442499999999998</v>
      </c>
      <c r="H27" s="5">
        <f t="shared" si="0"/>
        <v>5.6140218749999997</v>
      </c>
      <c r="I27" s="14">
        <v>0.13141414141414143</v>
      </c>
      <c r="J27" s="5">
        <f t="shared" si="12"/>
        <v>3.2853535353535355</v>
      </c>
      <c r="K27" s="5">
        <f t="shared" si="10"/>
        <v>-9.8085267676767671</v>
      </c>
      <c r="L27" s="5">
        <f t="shared" si="1"/>
        <v>-3.2368138333333332</v>
      </c>
      <c r="M27" s="5">
        <f t="shared" si="11"/>
        <v>-6.5717129343434344</v>
      </c>
      <c r="N27" s="4"/>
      <c r="O27" s="5">
        <f t="shared" si="2"/>
        <v>0</v>
      </c>
      <c r="P27" s="5">
        <f t="shared" si="3"/>
        <v>0</v>
      </c>
      <c r="Q27" s="5">
        <f t="shared" si="4"/>
        <v>0</v>
      </c>
      <c r="R27" s="5">
        <f t="shared" si="5"/>
        <v>0</v>
      </c>
      <c r="S27" s="5">
        <f t="shared" si="6"/>
        <v>0</v>
      </c>
      <c r="T27" s="5">
        <f t="shared" si="7"/>
        <v>0</v>
      </c>
    </row>
    <row r="28" spans="1:20" x14ac:dyDescent="0.25">
      <c r="A28" s="4" t="s">
        <v>20</v>
      </c>
      <c r="B28" s="37"/>
      <c r="C28" s="38"/>
      <c r="D28" s="46"/>
      <c r="E28" s="9"/>
      <c r="F28" s="9">
        <f t="shared" si="8"/>
        <v>0.65578977272727235</v>
      </c>
      <c r="G28" s="13">
        <v>0.85099999999999998</v>
      </c>
      <c r="H28" s="5">
        <f t="shared" si="0"/>
        <v>2.4572625000000001</v>
      </c>
      <c r="I28" s="14">
        <v>0.14181818181818182</v>
      </c>
      <c r="J28" s="5">
        <f t="shared" si="12"/>
        <v>3.5454545454545454</v>
      </c>
      <c r="K28" s="5">
        <f t="shared" si="10"/>
        <v>-5.3469272727272728</v>
      </c>
      <c r="L28" s="5">
        <f t="shared" si="1"/>
        <v>-1.764486</v>
      </c>
      <c r="M28" s="5">
        <f t="shared" si="11"/>
        <v>-3.582441272727273</v>
      </c>
      <c r="N28" s="4"/>
      <c r="O28" s="5">
        <f t="shared" si="2"/>
        <v>0</v>
      </c>
      <c r="P28" s="5">
        <f t="shared" si="3"/>
        <v>0</v>
      </c>
      <c r="Q28" s="5">
        <f t="shared" si="4"/>
        <v>0</v>
      </c>
      <c r="R28" s="5">
        <f t="shared" si="5"/>
        <v>0</v>
      </c>
      <c r="S28" s="5">
        <f t="shared" si="6"/>
        <v>0</v>
      </c>
      <c r="T28" s="5">
        <f t="shared" si="7"/>
        <v>0</v>
      </c>
    </row>
    <row r="29" spans="1:20" x14ac:dyDescent="0.25">
      <c r="A29" s="4"/>
      <c r="B29" s="37"/>
      <c r="C29" s="38"/>
      <c r="D29" s="46"/>
      <c r="E29" s="9"/>
      <c r="F29" s="9"/>
      <c r="G29" s="4"/>
      <c r="H29" s="4"/>
      <c r="I29" s="4"/>
      <c r="J29" s="4"/>
      <c r="K29" s="4"/>
      <c r="L29" s="4"/>
      <c r="M29" s="4"/>
      <c r="N29" s="4"/>
      <c r="O29" s="4"/>
      <c r="P29" s="4"/>
      <c r="Q29" s="4"/>
      <c r="R29" s="4"/>
      <c r="S29" s="4"/>
      <c r="T29" s="4"/>
    </row>
    <row r="30" spans="1:20" x14ac:dyDescent="0.25">
      <c r="A30" s="12" t="s">
        <v>21</v>
      </c>
      <c r="B30" s="37"/>
      <c r="C30" s="38"/>
      <c r="D30" s="46"/>
      <c r="E30" s="9"/>
      <c r="F30" s="9"/>
      <c r="G30" s="4"/>
      <c r="H30" s="4"/>
      <c r="I30" s="4"/>
      <c r="J30" s="4"/>
      <c r="K30" s="4"/>
      <c r="L30" s="4"/>
      <c r="M30" s="4"/>
      <c r="N30" s="4"/>
      <c r="O30" s="4"/>
      <c r="P30" s="4"/>
      <c r="Q30" s="4"/>
      <c r="R30" s="4"/>
      <c r="S30" s="4"/>
      <c r="T30" s="4"/>
    </row>
    <row r="31" spans="1:20" x14ac:dyDescent="0.25">
      <c r="A31" s="4" t="s">
        <v>22</v>
      </c>
      <c r="B31" s="37"/>
      <c r="C31" s="38"/>
      <c r="D31" s="46"/>
      <c r="E31" s="9"/>
      <c r="F31" s="9">
        <f t="shared" ref="F31:F37" si="13">IF(D31&gt;0,D31,E31-(G31*B$2*1.05)+H31-I31*12.5+J31)</f>
        <v>0.38709837962962945</v>
      </c>
      <c r="G31" s="13">
        <v>0.47050000000000003</v>
      </c>
      <c r="H31" s="5">
        <f t="shared" ref="H31:H37" si="14">G31*B$3*1.05</f>
        <v>1.3585687500000001</v>
      </c>
      <c r="I31" s="14">
        <v>8.037037037037037E-2</v>
      </c>
      <c r="J31" s="5">
        <f>I31*B$4*(1-B$7)+I31*B$6*(B$7)</f>
        <v>2.0092592592592591</v>
      </c>
      <c r="K31" s="5">
        <f t="shared" ref="K31:K37" si="15">F31-H31-J31</f>
        <v>-2.9807296296296295</v>
      </c>
      <c r="L31" s="5">
        <f t="shared" ref="L31:L37" si="16">K31*B$12</f>
        <v>-0.98364077777777781</v>
      </c>
      <c r="M31" s="5">
        <f t="shared" ref="M31:M37" si="17">K31-L31</f>
        <v>-1.9970888518518517</v>
      </c>
      <c r="N31" s="4"/>
      <c r="O31" s="5">
        <f t="shared" ref="O31:O37" si="18">IF(O$14="Increase",IF(C31="y",0,IF($B31&gt;0,H31*$B31*(1+O$15),0)),IF(C31="y",0,IF($B31&gt;0,H31*$B31*(1-O$15),0)))</f>
        <v>0</v>
      </c>
      <c r="P31" s="5">
        <f t="shared" ref="P31:P37" si="19">IF(P$14="Increase",IF(C31="y",0,IF($B31&gt;0,(I31*B$4*(1-B$7))*$B31*(1+P$15),0)),IF(C31="y",0,IF($B31&gt;0,(I31*B$4*(1-B$7))*$B31*(1-P$15),0)))</f>
        <v>0</v>
      </c>
      <c r="Q31" s="5">
        <f t="shared" ref="Q31:Q37" si="20">IF(Q$14="Increase",IF(C31="y",0,IF($B31&gt;0,(I31*B$6*(B$7))*$B31*(1+Q$15),0)),IF(C31="y",0,IF($B31&gt;0,(I31*B$6*(B$7))*$B31*(1-Q$15),0)))</f>
        <v>0</v>
      </c>
      <c r="R31" s="5">
        <f t="shared" ref="R31:R37" si="21">IF(R$14="Increase",IF(C31="y",0,IF($B31&gt;0,L31*$B31*(1+R$15),0)),IF(C31="y",0,IF($B31&gt;0,L31*$B31*(1-R$15),0)))</f>
        <v>0</v>
      </c>
      <c r="S31" s="5">
        <f t="shared" ref="S31:S37" si="22">IF(S$14="Increase",IF(C31="y",0,IF($B31&gt;0,M31*$B31*(1+S$15),0)),IF(C31="y",0,IF($B31&gt;0,M31*$B31*(1-S$15),0)))</f>
        <v>0</v>
      </c>
      <c r="T31" s="5">
        <f t="shared" ref="T31:T37" si="23">IF(T$14="Increase",IF(C31="y",F31*B31*(1+T$15),0),IF(C31="y",F31*B31*(1-T$15),0))</f>
        <v>0</v>
      </c>
    </row>
    <row r="32" spans="1:20" x14ac:dyDescent="0.25">
      <c r="A32" s="7"/>
      <c r="B32" s="37"/>
      <c r="C32" s="38"/>
      <c r="D32" s="46"/>
      <c r="E32" s="9"/>
      <c r="F32" s="9"/>
      <c r="G32" s="13"/>
      <c r="H32" s="5"/>
      <c r="I32" s="14"/>
      <c r="J32" s="5"/>
      <c r="K32" s="5"/>
      <c r="L32" s="5"/>
      <c r="M32" s="5"/>
      <c r="N32" s="4"/>
      <c r="O32" s="5"/>
      <c r="P32" s="5"/>
      <c r="Q32" s="5"/>
      <c r="R32" s="5"/>
      <c r="S32" s="5"/>
      <c r="T32" s="5"/>
    </row>
    <row r="33" spans="1:20" x14ac:dyDescent="0.25">
      <c r="A33" s="4" t="s">
        <v>24</v>
      </c>
      <c r="B33" s="37"/>
      <c r="C33" s="38"/>
      <c r="D33" s="46"/>
      <c r="E33" s="9"/>
      <c r="F33" s="9">
        <f t="shared" si="13"/>
        <v>0.38709837962962945</v>
      </c>
      <c r="G33" s="13">
        <v>0.47050000000000003</v>
      </c>
      <c r="H33" s="5">
        <f t="shared" si="14"/>
        <v>1.3585687500000001</v>
      </c>
      <c r="I33" s="14">
        <v>8.037037037037037E-2</v>
      </c>
      <c r="J33" s="5">
        <f t="shared" ref="J33:J37" si="24">I33*B$4*(1-B$7)+I33*B$6*(B$7)</f>
        <v>2.0092592592592591</v>
      </c>
      <c r="K33" s="5">
        <f t="shared" si="15"/>
        <v>-2.9807296296296295</v>
      </c>
      <c r="L33" s="5">
        <f t="shared" si="16"/>
        <v>-0.98364077777777781</v>
      </c>
      <c r="M33" s="5">
        <f t="shared" si="17"/>
        <v>-1.9970888518518517</v>
      </c>
      <c r="N33" s="4"/>
      <c r="O33" s="5">
        <f t="shared" si="18"/>
        <v>0</v>
      </c>
      <c r="P33" s="5">
        <f t="shared" si="19"/>
        <v>0</v>
      </c>
      <c r="Q33" s="5">
        <f t="shared" si="20"/>
        <v>0</v>
      </c>
      <c r="R33" s="5">
        <f t="shared" si="21"/>
        <v>0</v>
      </c>
      <c r="S33" s="5">
        <f t="shared" si="22"/>
        <v>0</v>
      </c>
      <c r="T33" s="5">
        <f t="shared" si="23"/>
        <v>0</v>
      </c>
    </row>
    <row r="34" spans="1:20" x14ac:dyDescent="0.25">
      <c r="A34" s="4" t="s">
        <v>26</v>
      </c>
      <c r="B34" s="37"/>
      <c r="C34" s="38"/>
      <c r="D34" s="46"/>
      <c r="E34" s="9"/>
      <c r="F34" s="9">
        <f t="shared" si="13"/>
        <v>0.45379976851851822</v>
      </c>
      <c r="G34" s="13">
        <v>0.52550000000000008</v>
      </c>
      <c r="H34" s="5">
        <f t="shared" si="14"/>
        <v>1.5173812500000003</v>
      </c>
      <c r="I34" s="14">
        <v>9.1481481481481469E-2</v>
      </c>
      <c r="J34" s="5">
        <f t="shared" si="24"/>
        <v>2.2870370370370368</v>
      </c>
      <c r="K34" s="5">
        <f t="shared" si="15"/>
        <v>-3.3506185185185187</v>
      </c>
      <c r="L34" s="5">
        <f t="shared" si="16"/>
        <v>-1.1057041111111112</v>
      </c>
      <c r="M34" s="5">
        <f t="shared" si="17"/>
        <v>-2.2449144074074074</v>
      </c>
      <c r="N34" s="4"/>
      <c r="O34" s="5">
        <f t="shared" si="18"/>
        <v>0</v>
      </c>
      <c r="P34" s="5">
        <f t="shared" si="19"/>
        <v>0</v>
      </c>
      <c r="Q34" s="5">
        <f t="shared" si="20"/>
        <v>0</v>
      </c>
      <c r="R34" s="5">
        <f t="shared" si="21"/>
        <v>0</v>
      </c>
      <c r="S34" s="5">
        <f t="shared" si="22"/>
        <v>0</v>
      </c>
      <c r="T34" s="5">
        <f t="shared" si="23"/>
        <v>0</v>
      </c>
    </row>
    <row r="35" spans="1:20" x14ac:dyDescent="0.25">
      <c r="A35" s="4" t="s">
        <v>27</v>
      </c>
      <c r="B35" s="37"/>
      <c r="C35" s="38"/>
      <c r="D35" s="46"/>
      <c r="E35" s="9"/>
      <c r="F35" s="9">
        <f t="shared" si="13"/>
        <v>0.45379976851851822</v>
      </c>
      <c r="G35" s="13">
        <v>0.52550000000000008</v>
      </c>
      <c r="H35" s="5">
        <f t="shared" si="14"/>
        <v>1.5173812500000003</v>
      </c>
      <c r="I35" s="14">
        <v>9.1481481481481469E-2</v>
      </c>
      <c r="J35" s="5">
        <f t="shared" si="24"/>
        <v>2.2870370370370368</v>
      </c>
      <c r="K35" s="5">
        <f t="shared" si="15"/>
        <v>-3.3506185185185187</v>
      </c>
      <c r="L35" s="5">
        <f t="shared" si="16"/>
        <v>-1.1057041111111112</v>
      </c>
      <c r="M35" s="5">
        <f t="shared" si="17"/>
        <v>-2.2449144074074074</v>
      </c>
      <c r="N35" s="4"/>
      <c r="O35" s="5">
        <f t="shared" si="18"/>
        <v>0</v>
      </c>
      <c r="P35" s="5">
        <f t="shared" si="19"/>
        <v>0</v>
      </c>
      <c r="Q35" s="5">
        <f t="shared" si="20"/>
        <v>0</v>
      </c>
      <c r="R35" s="5">
        <f t="shared" si="21"/>
        <v>0</v>
      </c>
      <c r="S35" s="5">
        <f t="shared" si="22"/>
        <v>0</v>
      </c>
      <c r="T35" s="5">
        <f t="shared" si="23"/>
        <v>0</v>
      </c>
    </row>
    <row r="36" spans="1:20" x14ac:dyDescent="0.25">
      <c r="A36" s="4" t="s">
        <v>28</v>
      </c>
      <c r="B36" s="37"/>
      <c r="C36" s="38"/>
      <c r="D36" s="46"/>
      <c r="E36" s="9"/>
      <c r="F36" s="9">
        <f t="shared" si="13"/>
        <v>0.74316898148148125</v>
      </c>
      <c r="G36" s="13">
        <v>0.753</v>
      </c>
      <c r="H36" s="5">
        <f t="shared" si="14"/>
        <v>2.1742875000000002</v>
      </c>
      <c r="I36" s="14">
        <v>0.13851851851851851</v>
      </c>
      <c r="J36" s="5">
        <f t="shared" si="24"/>
        <v>3.4629629629629628</v>
      </c>
      <c r="K36" s="5">
        <f t="shared" si="15"/>
        <v>-4.8940814814814821</v>
      </c>
      <c r="L36" s="5">
        <f t="shared" si="16"/>
        <v>-1.6150468888888891</v>
      </c>
      <c r="M36" s="5">
        <f t="shared" si="17"/>
        <v>-3.279034592592593</v>
      </c>
      <c r="N36" s="4"/>
      <c r="O36" s="5">
        <f t="shared" si="18"/>
        <v>0</v>
      </c>
      <c r="P36" s="5">
        <f t="shared" si="19"/>
        <v>0</v>
      </c>
      <c r="Q36" s="5">
        <f t="shared" si="20"/>
        <v>0</v>
      </c>
      <c r="R36" s="5">
        <f t="shared" si="21"/>
        <v>0</v>
      </c>
      <c r="S36" s="5">
        <f t="shared" si="22"/>
        <v>0</v>
      </c>
      <c r="T36" s="5">
        <f t="shared" si="23"/>
        <v>0</v>
      </c>
    </row>
    <row r="37" spans="1:20" x14ac:dyDescent="0.25">
      <c r="A37" s="4" t="s">
        <v>29</v>
      </c>
      <c r="B37" s="37"/>
      <c r="C37" s="38"/>
      <c r="D37" s="46"/>
      <c r="E37" s="9"/>
      <c r="F37" s="9">
        <f t="shared" si="13"/>
        <v>0.74316898148148125</v>
      </c>
      <c r="G37" s="13">
        <v>0.753</v>
      </c>
      <c r="H37" s="5">
        <f t="shared" si="14"/>
        <v>2.1742875000000002</v>
      </c>
      <c r="I37" s="14">
        <v>0.13851851851851851</v>
      </c>
      <c r="J37" s="5">
        <f t="shared" si="24"/>
        <v>3.4629629629629628</v>
      </c>
      <c r="K37" s="5">
        <f t="shared" si="15"/>
        <v>-4.8940814814814821</v>
      </c>
      <c r="L37" s="5">
        <f t="shared" si="16"/>
        <v>-1.6150468888888891</v>
      </c>
      <c r="M37" s="5">
        <f t="shared" si="17"/>
        <v>-3.279034592592593</v>
      </c>
      <c r="N37" s="4"/>
      <c r="O37" s="5">
        <f t="shared" si="18"/>
        <v>0</v>
      </c>
      <c r="P37" s="5">
        <f t="shared" si="19"/>
        <v>0</v>
      </c>
      <c r="Q37" s="5">
        <f t="shared" si="20"/>
        <v>0</v>
      </c>
      <c r="R37" s="5">
        <f t="shared" si="21"/>
        <v>0</v>
      </c>
      <c r="S37" s="5">
        <f t="shared" si="22"/>
        <v>0</v>
      </c>
      <c r="T37" s="5">
        <f t="shared" si="23"/>
        <v>0</v>
      </c>
    </row>
    <row r="38" spans="1:20" x14ac:dyDescent="0.25">
      <c r="A38" s="4"/>
      <c r="B38" s="37"/>
      <c r="C38" s="38"/>
      <c r="D38" s="46"/>
      <c r="E38" s="9"/>
      <c r="F38" s="9"/>
      <c r="G38" s="4"/>
      <c r="H38" s="4"/>
      <c r="I38" s="4"/>
      <c r="J38" s="4"/>
      <c r="K38" s="4"/>
      <c r="L38" s="4"/>
      <c r="M38" s="4"/>
      <c r="N38" s="4"/>
      <c r="O38" s="4"/>
      <c r="P38" s="4"/>
      <c r="Q38" s="4"/>
      <c r="R38" s="4"/>
      <c r="S38" s="4"/>
      <c r="T38" s="4"/>
    </row>
    <row r="39" spans="1:20" x14ac:dyDescent="0.25">
      <c r="A39" s="12" t="s">
        <v>30</v>
      </c>
      <c r="B39" s="37"/>
      <c r="C39" s="38"/>
      <c r="D39" s="46"/>
      <c r="E39" s="9"/>
      <c r="F39" s="9"/>
      <c r="G39" s="4"/>
      <c r="H39" s="4"/>
      <c r="I39" s="4"/>
      <c r="J39" s="4"/>
      <c r="K39" s="4"/>
      <c r="L39" s="4"/>
      <c r="M39" s="4"/>
      <c r="N39" s="4"/>
      <c r="O39" s="4"/>
      <c r="P39" s="4"/>
      <c r="Q39" s="4"/>
      <c r="R39" s="4"/>
      <c r="S39" s="4"/>
      <c r="T39" s="4"/>
    </row>
    <row r="40" spans="1:20" x14ac:dyDescent="0.25">
      <c r="A40" s="4" t="s">
        <v>31</v>
      </c>
      <c r="B40" s="37">
        <v>1</v>
      </c>
      <c r="C40" s="38"/>
      <c r="D40" s="46"/>
      <c r="E40" s="9">
        <v>24.053014205024166</v>
      </c>
      <c r="F40" s="9">
        <f t="shared" ref="F40:F45" si="25">IF(D40&gt;0,D40,E40-(G40*B$2*1.05)+H40-I40*12.5+J40)</f>
        <v>24.290999737431569</v>
      </c>
      <c r="G40" s="13">
        <v>0.79574999999999996</v>
      </c>
      <c r="H40" s="5">
        <f t="shared" ref="H40:H45" si="26">G40*B$3*1.05</f>
        <v>2.2977281249999999</v>
      </c>
      <c r="I40" s="14">
        <v>0.1025925925925926</v>
      </c>
      <c r="J40" s="5">
        <f t="shared" ref="J40:J45" si="27">I40*B$4*(1-B$7)+I40*B$6*(B$7)</f>
        <v>2.5648148148148149</v>
      </c>
      <c r="K40" s="5">
        <f t="shared" ref="K40:K45" si="28">F40-H40-J40</f>
        <v>19.428456797616754</v>
      </c>
      <c r="L40" s="5">
        <f t="shared" ref="L40:L45" si="29">K40*B$12</f>
        <v>6.4113907432135289</v>
      </c>
      <c r="M40" s="5">
        <f t="shared" ref="M40:M45" si="30">K40-L40</f>
        <v>13.017066054403225</v>
      </c>
      <c r="N40" s="4"/>
      <c r="O40" s="5">
        <f t="shared" ref="O40:O45" si="31">IF(O$14="Increase",IF(C40="y",0,IF($B40&gt;0,H40*$B40*(1+O$15),0)),IF(C40="y",0,IF($B40&gt;0,H40*$B40*(1-O$15),0)))</f>
        <v>2.6423873437499998</v>
      </c>
      <c r="P40" s="5">
        <f t="shared" ref="P40:P45" si="32">IF(P$14="Increase",IF(C40="y",0,IF($B40&gt;0,(I40*B$4*(1-B$7))*$B40*(1+P$15),0)),IF(C40="y",0,IF($B40&gt;0,(I40*B$4*(1-B$7))*$B40*(1-P$15),0)))</f>
        <v>2.9495370370370368</v>
      </c>
      <c r="Q40" s="5">
        <f t="shared" ref="Q40:Q45" si="33">IF(Q$14="Increase",IF(C40="y",0,IF($B40&gt;0,(I40*B$6*(B$7))*$B40*(1+Q$15),0)),IF(C40="y",0,IF($B40&gt;0,(I40*B$6*(B$7))*$B40*(1-Q$15),0)))</f>
        <v>0</v>
      </c>
      <c r="R40" s="5">
        <f t="shared" ref="R40:R45" si="34">IF(R$14="Increase",IF(C40="y",0,IF($B40&gt;0,L40*$B40*(1+R$15),0)),IF(C40="y",0,IF($B40&gt;0,L40*$B40*(1-R$15),0)))</f>
        <v>7.3730993546955572</v>
      </c>
      <c r="S40" s="5">
        <f t="shared" ref="S40:S45" si="35">IF(S$14="Increase",IF(C40="y",0,IF($B40&gt;0,M40*$B40*(1+S$15),0)),IF(C40="y",0,IF($B40&gt;0,M40*$B40*(1-S$15),0)))</f>
        <v>14.969625962563708</v>
      </c>
      <c r="T40" s="5">
        <f t="shared" ref="T40:T45" si="36">IF(T$14="Increase",IF(C40="y",F40*B40*(1+T$15),0),IF(C40="y",F40*B40*(1-T$15),0))</f>
        <v>0</v>
      </c>
    </row>
    <row r="41" spans="1:20" x14ac:dyDescent="0.25">
      <c r="A41" s="4" t="s">
        <v>23</v>
      </c>
      <c r="B41" s="37"/>
      <c r="C41" s="38"/>
      <c r="D41" s="46"/>
      <c r="E41" s="9"/>
      <c r="F41" s="9">
        <f t="shared" si="25"/>
        <v>0.23798553240740716</v>
      </c>
      <c r="G41" s="13">
        <v>0.79574999999999996</v>
      </c>
      <c r="H41" s="5">
        <f t="shared" si="26"/>
        <v>2.2977281249999999</v>
      </c>
      <c r="I41" s="14">
        <v>0.1025925925925926</v>
      </c>
      <c r="J41" s="5">
        <f t="shared" si="27"/>
        <v>2.5648148148148149</v>
      </c>
      <c r="K41" s="5">
        <f t="shared" si="28"/>
        <v>-4.6245574074074076</v>
      </c>
      <c r="L41" s="5">
        <f t="shared" si="29"/>
        <v>-1.5261039444444446</v>
      </c>
      <c r="M41" s="5">
        <f t="shared" si="30"/>
        <v>-3.0984534629629632</v>
      </c>
      <c r="N41" s="4"/>
      <c r="O41" s="5">
        <f t="shared" si="31"/>
        <v>0</v>
      </c>
      <c r="P41" s="5">
        <f t="shared" si="32"/>
        <v>0</v>
      </c>
      <c r="Q41" s="5">
        <f t="shared" si="33"/>
        <v>0</v>
      </c>
      <c r="R41" s="5">
        <f t="shared" si="34"/>
        <v>0</v>
      </c>
      <c r="S41" s="5">
        <f t="shared" si="35"/>
        <v>0</v>
      </c>
      <c r="T41" s="5">
        <f t="shared" si="36"/>
        <v>0</v>
      </c>
    </row>
    <row r="42" spans="1:20" x14ac:dyDescent="0.25">
      <c r="A42" s="4" t="s">
        <v>26</v>
      </c>
      <c r="B42" s="37"/>
      <c r="C42" s="38"/>
      <c r="D42" s="46"/>
      <c r="E42" s="9"/>
      <c r="F42" s="9">
        <f t="shared" si="25"/>
        <v>0.23798553240740716</v>
      </c>
      <c r="G42" s="13">
        <v>0.79574999999999996</v>
      </c>
      <c r="H42" s="5">
        <f t="shared" si="26"/>
        <v>2.2977281249999999</v>
      </c>
      <c r="I42" s="14">
        <v>0.1025925925925926</v>
      </c>
      <c r="J42" s="5">
        <f t="shared" si="27"/>
        <v>2.5648148148148149</v>
      </c>
      <c r="K42" s="5">
        <f t="shared" si="28"/>
        <v>-4.6245574074074076</v>
      </c>
      <c r="L42" s="5">
        <f t="shared" si="29"/>
        <v>-1.5261039444444446</v>
      </c>
      <c r="M42" s="5">
        <f t="shared" si="30"/>
        <v>-3.0984534629629632</v>
      </c>
      <c r="N42" s="4"/>
      <c r="O42" s="5">
        <f t="shared" si="31"/>
        <v>0</v>
      </c>
      <c r="P42" s="5">
        <f t="shared" si="32"/>
        <v>0</v>
      </c>
      <c r="Q42" s="5">
        <f t="shared" si="33"/>
        <v>0</v>
      </c>
      <c r="R42" s="5">
        <f t="shared" si="34"/>
        <v>0</v>
      </c>
      <c r="S42" s="5">
        <f t="shared" si="35"/>
        <v>0</v>
      </c>
      <c r="T42" s="5">
        <f t="shared" si="36"/>
        <v>0</v>
      </c>
    </row>
    <row r="43" spans="1:20" x14ac:dyDescent="0.25">
      <c r="A43" s="4" t="s">
        <v>27</v>
      </c>
      <c r="B43" s="37"/>
      <c r="C43" s="38"/>
      <c r="D43" s="46"/>
      <c r="E43" s="9"/>
      <c r="F43" s="9">
        <f t="shared" si="25"/>
        <v>0.23798553240740716</v>
      </c>
      <c r="G43" s="13">
        <v>0.79574999999999996</v>
      </c>
      <c r="H43" s="5">
        <f t="shared" si="26"/>
        <v>2.2977281249999999</v>
      </c>
      <c r="I43" s="14">
        <v>0.1025925925925926</v>
      </c>
      <c r="J43" s="5">
        <f t="shared" si="27"/>
        <v>2.5648148148148149</v>
      </c>
      <c r="K43" s="5">
        <f t="shared" si="28"/>
        <v>-4.6245574074074076</v>
      </c>
      <c r="L43" s="5">
        <f t="shared" si="29"/>
        <v>-1.5261039444444446</v>
      </c>
      <c r="M43" s="5">
        <f t="shared" si="30"/>
        <v>-3.0984534629629632</v>
      </c>
      <c r="N43" s="4"/>
      <c r="O43" s="5">
        <f t="shared" si="31"/>
        <v>0</v>
      </c>
      <c r="P43" s="5">
        <f t="shared" si="32"/>
        <v>0</v>
      </c>
      <c r="Q43" s="5">
        <f t="shared" si="33"/>
        <v>0</v>
      </c>
      <c r="R43" s="5">
        <f t="shared" si="34"/>
        <v>0</v>
      </c>
      <c r="S43" s="5">
        <f t="shared" si="35"/>
        <v>0</v>
      </c>
      <c r="T43" s="5">
        <f t="shared" si="36"/>
        <v>0</v>
      </c>
    </row>
    <row r="44" spans="1:20" x14ac:dyDescent="0.25">
      <c r="A44" s="4" t="s">
        <v>28</v>
      </c>
      <c r="B44" s="37"/>
      <c r="C44" s="38"/>
      <c r="D44" s="46"/>
      <c r="E44" s="9"/>
      <c r="F44" s="9">
        <f t="shared" si="25"/>
        <v>0.44357581018518522</v>
      </c>
      <c r="G44" s="13">
        <v>0.85075000000000001</v>
      </c>
      <c r="H44" s="5">
        <f t="shared" si="26"/>
        <v>2.4565406250000001</v>
      </c>
      <c r="I44" s="14">
        <v>0.12481481481481482</v>
      </c>
      <c r="J44" s="5">
        <f t="shared" si="27"/>
        <v>3.1203703703703707</v>
      </c>
      <c r="K44" s="5">
        <f t="shared" si="28"/>
        <v>-5.1333351851851852</v>
      </c>
      <c r="L44" s="5">
        <f t="shared" si="29"/>
        <v>-1.6940006111111112</v>
      </c>
      <c r="M44" s="5">
        <f t="shared" si="30"/>
        <v>-3.4393345740740742</v>
      </c>
      <c r="N44" s="4"/>
      <c r="O44" s="5">
        <f t="shared" si="31"/>
        <v>0</v>
      </c>
      <c r="P44" s="5">
        <f t="shared" si="32"/>
        <v>0</v>
      </c>
      <c r="Q44" s="5">
        <f t="shared" si="33"/>
        <v>0</v>
      </c>
      <c r="R44" s="5">
        <f t="shared" si="34"/>
        <v>0</v>
      </c>
      <c r="S44" s="5">
        <f t="shared" si="35"/>
        <v>0</v>
      </c>
      <c r="T44" s="5">
        <f t="shared" si="36"/>
        <v>0</v>
      </c>
    </row>
    <row r="45" spans="1:20" x14ac:dyDescent="0.25">
      <c r="A45" s="4" t="s">
        <v>29</v>
      </c>
      <c r="B45" s="37"/>
      <c r="C45" s="38"/>
      <c r="D45" s="46"/>
      <c r="E45" s="9"/>
      <c r="F45" s="9">
        <f t="shared" si="25"/>
        <v>0.44357581018518522</v>
      </c>
      <c r="G45" s="13">
        <v>0.85075000000000001</v>
      </c>
      <c r="H45" s="5">
        <f t="shared" si="26"/>
        <v>2.4565406250000001</v>
      </c>
      <c r="I45" s="14">
        <v>0.12481481481481482</v>
      </c>
      <c r="J45" s="5">
        <f t="shared" si="27"/>
        <v>3.1203703703703707</v>
      </c>
      <c r="K45" s="5">
        <f t="shared" si="28"/>
        <v>-5.1333351851851852</v>
      </c>
      <c r="L45" s="5">
        <f t="shared" si="29"/>
        <v>-1.6940006111111112</v>
      </c>
      <c r="M45" s="5">
        <f t="shared" si="30"/>
        <v>-3.4393345740740742</v>
      </c>
      <c r="N45" s="4"/>
      <c r="O45" s="5">
        <f t="shared" si="31"/>
        <v>0</v>
      </c>
      <c r="P45" s="5">
        <f t="shared" si="32"/>
        <v>0</v>
      </c>
      <c r="Q45" s="5">
        <f t="shared" si="33"/>
        <v>0</v>
      </c>
      <c r="R45" s="5">
        <f t="shared" si="34"/>
        <v>0</v>
      </c>
      <c r="S45" s="5">
        <f t="shared" si="35"/>
        <v>0</v>
      </c>
      <c r="T45" s="5">
        <f t="shared" si="36"/>
        <v>0</v>
      </c>
    </row>
    <row r="46" spans="1:20" x14ac:dyDescent="0.25">
      <c r="A46" s="4"/>
      <c r="B46" s="37"/>
      <c r="C46" s="38"/>
      <c r="D46" s="46"/>
      <c r="E46" s="9"/>
      <c r="F46" s="9"/>
      <c r="G46" s="4"/>
      <c r="H46" s="4"/>
      <c r="I46" s="4"/>
      <c r="J46" s="4"/>
      <c r="K46" s="4"/>
      <c r="L46" s="4"/>
      <c r="M46" s="4"/>
      <c r="N46" s="4"/>
      <c r="O46" s="4"/>
      <c r="P46" s="4"/>
      <c r="Q46" s="4"/>
      <c r="R46" s="4"/>
      <c r="S46" s="4"/>
      <c r="T46" s="4"/>
    </row>
    <row r="47" spans="1:20" x14ac:dyDescent="0.25">
      <c r="A47" s="12" t="s">
        <v>32</v>
      </c>
      <c r="B47" s="37"/>
      <c r="C47" s="38"/>
      <c r="D47" s="46"/>
      <c r="E47" s="9"/>
      <c r="F47" s="9"/>
      <c r="G47" s="4"/>
      <c r="H47" s="4"/>
      <c r="I47" s="4"/>
      <c r="J47" s="4"/>
      <c r="K47" s="4"/>
      <c r="L47" s="4"/>
      <c r="M47" s="4"/>
      <c r="N47" s="4"/>
      <c r="O47" s="4"/>
      <c r="P47" s="4"/>
      <c r="Q47" s="4"/>
      <c r="R47" s="4"/>
      <c r="S47" s="4"/>
      <c r="T47" s="4"/>
    </row>
    <row r="48" spans="1:20" x14ac:dyDescent="0.25">
      <c r="A48" s="4" t="s">
        <v>33</v>
      </c>
      <c r="B48" s="37"/>
      <c r="C48" s="38"/>
      <c r="D48" s="46"/>
      <c r="E48" s="9"/>
      <c r="F48" s="9">
        <f t="shared" ref="F48:F54" si="37">IF(D48&gt;0,D48,E48-(G48*B$2*1.05)+H48-I48*12.5+J48)</f>
        <v>-0.58242650462963041</v>
      </c>
      <c r="G48" s="13">
        <v>2.2497499999999997</v>
      </c>
      <c r="H48" s="5">
        <f t="shared" ref="H48:H54" si="38">G48*B$3*1.05</f>
        <v>6.4961531249999993</v>
      </c>
      <c r="I48" s="14">
        <v>0.18962962962962962</v>
      </c>
      <c r="J48" s="5">
        <f t="shared" ref="J48:J49" si="39">I48*B$4*(1-B$7)+I48*B$6*(B$7)</f>
        <v>4.7407407407407405</v>
      </c>
      <c r="K48" s="5">
        <f t="shared" ref="K48:K54" si="40">F48-H48-J48</f>
        <v>-11.81932037037037</v>
      </c>
      <c r="L48" s="5">
        <f t="shared" ref="L48:L55" si="41">K48*B$12</f>
        <v>-3.9003757222222224</v>
      </c>
      <c r="M48" s="5">
        <f t="shared" ref="M48:M54" si="42">K48-L48</f>
        <v>-7.9189446481481482</v>
      </c>
      <c r="N48" s="4"/>
      <c r="O48" s="5">
        <f t="shared" ref="O48:O54" si="43">IF(O$14="Increase",IF(C48="y",0,IF($B48&gt;0,H48*$B48*(1+O$15),0)),IF(C48="y",0,IF($B48&gt;0,H48*$B48*(1-O$15),0)))</f>
        <v>0</v>
      </c>
      <c r="P48" s="5">
        <f t="shared" ref="P48:P54" si="44">IF(P$14="Increase",IF(C48="y",0,IF($B48&gt;0,(I48*B$4*(1-B$7))*$B48*(1+P$15),0)),IF(C48="y",0,IF($B48&gt;0,(I48*B$4*(1-B$7))*$B48*(1-P$15),0)))</f>
        <v>0</v>
      </c>
      <c r="Q48" s="5">
        <f t="shared" ref="Q48:Q54" si="45">IF(Q$14="Increase",IF(C48="y",0,IF($B48&gt;0,(I48*B$6*(B$7))*$B48*(1+Q$15),0)),IF(C48="y",0,IF($B48&gt;0,(I48*B$6*(B$7))*$B48*(1-Q$15),0)))</f>
        <v>0</v>
      </c>
      <c r="R48" s="5">
        <f t="shared" ref="R48:R54" si="46">IF(R$14="Increase",IF(C48="y",0,IF($B48&gt;0,L48*$B48*(1+R$15),0)),IF(C48="y",0,IF($B48&gt;0,L48*$B48*(1-R$15),0)))</f>
        <v>0</v>
      </c>
      <c r="S48" s="5">
        <f t="shared" ref="S48:S54" si="47">IF(S$14="Increase",IF(C48="y",0,IF($B48&gt;0,M48*$B48*(1+S$15),0)),IF(C48="y",0,IF($B48&gt;0,M48*$B48*(1-S$15),0)))</f>
        <v>0</v>
      </c>
      <c r="T48" s="5">
        <f t="shared" ref="T48:T54" si="48">IF(T$14="Increase",IF(C48="y",F48*B48*(1+T$15),0),IF(C48="y",F48*B48*(1-T$15),0))</f>
        <v>0</v>
      </c>
    </row>
    <row r="49" spans="1:21" x14ac:dyDescent="0.25">
      <c r="A49" s="4" t="s">
        <v>34</v>
      </c>
      <c r="B49" s="37">
        <v>1</v>
      </c>
      <c r="C49" s="38"/>
      <c r="D49" s="46"/>
      <c r="E49" s="9">
        <v>40.279576048218345</v>
      </c>
      <c r="F49" s="9">
        <f t="shared" si="37"/>
        <v>39.697149543588715</v>
      </c>
      <c r="G49" s="13">
        <v>2.2497499999999997</v>
      </c>
      <c r="H49" s="5">
        <f t="shared" si="38"/>
        <v>6.4961531249999993</v>
      </c>
      <c r="I49" s="14">
        <v>0.18962962962962962</v>
      </c>
      <c r="J49" s="5">
        <f t="shared" si="39"/>
        <v>4.7407407407407405</v>
      </c>
      <c r="K49" s="5">
        <f t="shared" si="40"/>
        <v>28.460255677847975</v>
      </c>
      <c r="L49" s="5">
        <f t="shared" si="41"/>
        <v>9.3918843736898321</v>
      </c>
      <c r="M49" s="5">
        <f t="shared" si="42"/>
        <v>19.068371304158141</v>
      </c>
      <c r="N49" s="4"/>
      <c r="O49" s="5">
        <f t="shared" si="43"/>
        <v>7.4705760937499983</v>
      </c>
      <c r="P49" s="5">
        <f t="shared" si="44"/>
        <v>5.4518518518518508</v>
      </c>
      <c r="Q49" s="5">
        <f t="shared" si="45"/>
        <v>0</v>
      </c>
      <c r="R49" s="5">
        <f t="shared" si="46"/>
        <v>10.800667029743305</v>
      </c>
      <c r="S49" s="5">
        <f t="shared" si="47"/>
        <v>21.928626999781862</v>
      </c>
      <c r="T49" s="5">
        <f t="shared" si="48"/>
        <v>0</v>
      </c>
    </row>
    <row r="50" spans="1:21" x14ac:dyDescent="0.25">
      <c r="A50" s="4"/>
      <c r="B50" s="37"/>
      <c r="C50" s="38"/>
      <c r="D50" s="46"/>
      <c r="E50" s="9"/>
      <c r="F50" s="9"/>
      <c r="G50" s="13"/>
      <c r="H50" s="5"/>
      <c r="I50" s="14"/>
      <c r="J50" s="5"/>
      <c r="K50" s="5"/>
      <c r="L50" s="5"/>
      <c r="M50" s="5"/>
      <c r="N50" s="4"/>
      <c r="O50" s="5"/>
      <c r="P50" s="5"/>
      <c r="Q50" s="5"/>
      <c r="R50" s="5"/>
      <c r="S50" s="5"/>
      <c r="T50" s="5"/>
    </row>
    <row r="51" spans="1:21" x14ac:dyDescent="0.25">
      <c r="A51" s="4"/>
      <c r="B51" s="37"/>
      <c r="C51" s="38"/>
      <c r="D51" s="46"/>
      <c r="E51" s="9"/>
      <c r="F51" s="9"/>
      <c r="G51" s="13"/>
      <c r="H51" s="5"/>
      <c r="I51" s="14"/>
      <c r="J51" s="5"/>
      <c r="K51" s="5"/>
      <c r="L51" s="5"/>
      <c r="M51" s="5"/>
      <c r="N51" s="4"/>
      <c r="O51" s="5"/>
      <c r="P51" s="5"/>
      <c r="Q51" s="5"/>
      <c r="R51" s="5"/>
      <c r="S51" s="5"/>
      <c r="T51" s="5"/>
    </row>
    <row r="52" spans="1:21" x14ac:dyDescent="0.25">
      <c r="A52" s="4" t="s">
        <v>35</v>
      </c>
      <c r="B52" s="37"/>
      <c r="C52" s="38"/>
      <c r="D52" s="46"/>
      <c r="E52" s="9"/>
      <c r="F52" s="9">
        <f t="shared" si="37"/>
        <v>-0.51113541666666595</v>
      </c>
      <c r="G52" s="13">
        <v>1.8815</v>
      </c>
      <c r="H52" s="5">
        <f t="shared" si="38"/>
        <v>5.4328312500000004</v>
      </c>
      <c r="I52" s="14">
        <v>0.15666666666666668</v>
      </c>
      <c r="J52" s="5">
        <f t="shared" ref="J52:J55" si="49">I52*B$4*(1-B$7)+I52*B$6*(B$7)</f>
        <v>3.916666666666667</v>
      </c>
      <c r="K52" s="5">
        <f t="shared" si="40"/>
        <v>-9.8606333333333325</v>
      </c>
      <c r="L52" s="5">
        <f t="shared" si="41"/>
        <v>-3.2540089999999999</v>
      </c>
      <c r="M52" s="5">
        <f t="shared" si="42"/>
        <v>-6.6066243333333325</v>
      </c>
      <c r="N52" s="4"/>
      <c r="O52" s="5">
        <f t="shared" si="43"/>
        <v>0</v>
      </c>
      <c r="P52" s="5">
        <f t="shared" si="44"/>
        <v>0</v>
      </c>
      <c r="Q52" s="5">
        <f t="shared" si="45"/>
        <v>0</v>
      </c>
      <c r="R52" s="5">
        <f t="shared" si="46"/>
        <v>0</v>
      </c>
      <c r="S52" s="5">
        <f t="shared" si="47"/>
        <v>0</v>
      </c>
      <c r="T52" s="5">
        <f t="shared" si="48"/>
        <v>0</v>
      </c>
    </row>
    <row r="53" spans="1:21" x14ac:dyDescent="0.25">
      <c r="A53" s="4" t="s">
        <v>36</v>
      </c>
      <c r="B53" s="37"/>
      <c r="C53" s="38"/>
      <c r="D53" s="46"/>
      <c r="E53" s="9"/>
      <c r="F53" s="9">
        <f t="shared" si="37"/>
        <v>-0.3873443287037035</v>
      </c>
      <c r="G53" s="13">
        <v>1.4732500000000002</v>
      </c>
      <c r="H53" s="5">
        <f t="shared" si="38"/>
        <v>4.2540093750000008</v>
      </c>
      <c r="I53" s="14">
        <v>0.1237037037037037</v>
      </c>
      <c r="J53" s="5">
        <f t="shared" si="49"/>
        <v>3.0925925925925926</v>
      </c>
      <c r="K53" s="5">
        <f t="shared" si="40"/>
        <v>-7.7339462962962964</v>
      </c>
      <c r="L53" s="5">
        <f t="shared" si="41"/>
        <v>-2.552202277777778</v>
      </c>
      <c r="M53" s="5">
        <f t="shared" si="42"/>
        <v>-5.1817440185185184</v>
      </c>
      <c r="N53" s="4"/>
      <c r="O53" s="5">
        <f t="shared" si="43"/>
        <v>0</v>
      </c>
      <c r="P53" s="5">
        <f t="shared" si="44"/>
        <v>0</v>
      </c>
      <c r="Q53" s="5">
        <f t="shared" si="45"/>
        <v>0</v>
      </c>
      <c r="R53" s="5">
        <f t="shared" si="46"/>
        <v>0</v>
      </c>
      <c r="S53" s="5">
        <f t="shared" si="47"/>
        <v>0</v>
      </c>
      <c r="T53" s="5">
        <f t="shared" si="48"/>
        <v>0</v>
      </c>
    </row>
    <row r="54" spans="1:21" x14ac:dyDescent="0.25">
      <c r="A54" s="7" t="s">
        <v>55</v>
      </c>
      <c r="B54" s="40">
        <v>1</v>
      </c>
      <c r="C54" s="41"/>
      <c r="D54" s="47"/>
      <c r="E54" s="6">
        <v>6.4347418727055778</v>
      </c>
      <c r="F54" s="6">
        <f t="shared" si="37"/>
        <v>7.4747418727055779</v>
      </c>
      <c r="G54" s="18">
        <v>0.16</v>
      </c>
      <c r="H54" s="8">
        <f t="shared" si="38"/>
        <v>0.46200000000000002</v>
      </c>
      <c r="I54" s="19">
        <v>0.1</v>
      </c>
      <c r="J54" s="5">
        <f t="shared" si="49"/>
        <v>2.5</v>
      </c>
      <c r="K54" s="8">
        <f t="shared" si="40"/>
        <v>4.5127418727055781</v>
      </c>
      <c r="L54" s="8">
        <f t="shared" si="41"/>
        <v>1.4892048179928408</v>
      </c>
      <c r="M54" s="8">
        <f t="shared" si="42"/>
        <v>3.0235370547127376</v>
      </c>
      <c r="N54" s="7"/>
      <c r="O54" s="8">
        <f t="shared" si="43"/>
        <v>0.53129999999999999</v>
      </c>
      <c r="P54" s="8">
        <f t="shared" si="44"/>
        <v>2.875</v>
      </c>
      <c r="Q54" s="8">
        <f t="shared" si="45"/>
        <v>0</v>
      </c>
      <c r="R54" s="8">
        <f t="shared" si="46"/>
        <v>1.7125855406917667</v>
      </c>
      <c r="S54" s="8">
        <f t="shared" si="47"/>
        <v>3.4770676129196478</v>
      </c>
      <c r="T54" s="8">
        <f t="shared" si="48"/>
        <v>0</v>
      </c>
      <c r="U54" s="2"/>
    </row>
    <row r="55" spans="1:21" x14ac:dyDescent="0.25">
      <c r="A55" s="179" t="s">
        <v>112</v>
      </c>
      <c r="B55" s="125"/>
      <c r="C55" s="41"/>
      <c r="D55" s="47"/>
      <c r="E55" s="6"/>
      <c r="F55" s="6">
        <f>IF(D55&gt;0,D55,Trucking!H25*'No-Till Corn'!D5)</f>
        <v>58.325111047075254</v>
      </c>
      <c r="G55" s="18">
        <f>(('No-Till Corn'!D5*Trucking!B25*2)*(1+Trucking!C4))/(Trucking!C3*Trucking!C2)</f>
        <v>4.8355263157894735</v>
      </c>
      <c r="H55" s="8">
        <f>G55*Trucking!C9</f>
        <v>14.845065789473683</v>
      </c>
      <c r="I55" s="19">
        <f>'No-Till Corn'!D5*((((B8*2)/Trucking!C7) + (Trucking!C5/60)))/Trucking!C2</f>
        <v>0.79824561403508787</v>
      </c>
      <c r="J55" s="5">
        <f t="shared" si="49"/>
        <v>19.956140350877195</v>
      </c>
      <c r="K55" s="8">
        <f>F55-H55-J55</f>
        <v>23.523904906724379</v>
      </c>
      <c r="L55" s="8">
        <f t="shared" si="41"/>
        <v>7.7628886192190452</v>
      </c>
      <c r="M55" s="8">
        <f>K55-L55</f>
        <v>15.761016287505335</v>
      </c>
      <c r="N55" s="7"/>
      <c r="O55" s="8">
        <f>IF(O$14="Increase",IF(C55="y",0,IF($B8&gt;0,H55*(1+O$15),0)),IF(C55="y",0,IF($B8&gt;0,H55*(1-O$15),0)))</f>
        <v>17.071825657894735</v>
      </c>
      <c r="P55" s="8">
        <f>IF(P$14="Increase",IF(C55="y",0,IF($B8&gt;0,(I55*B$4*(1-B$7)*(1+P$15)),0)),IF(C55="y",0,IF($B8&gt;0,(I55*B$4*(1-B$7)*(1-P$15)),0)))</f>
        <v>22.949561403508774</v>
      </c>
      <c r="Q55" s="8">
        <f>IF(Q$14="Increase",IF(C55="y",0,IF($B8&gt;0,(I55*B$6*(B$7)*(1+Q$15)),0)),IF(C55="y",0,IF($B8&gt;0,(I55*B$6*(B$7)*(1-Q$15)),0)))</f>
        <v>0</v>
      </c>
      <c r="R55" s="8">
        <f>IF(R$14="Increase",IF(C55="y",0,IF($B8&gt;0,L55*(1+R$15),0)),IF(C55="y",0,IF($B8&gt;0,L55*(1-R$15),0)))</f>
        <v>8.9273219121019007</v>
      </c>
      <c r="S55" s="8">
        <f>IF(S$14="Increase",IF(C55="y",0,IF($B8&gt;0,M55*(1+S$15),0)),IF(C55="y",0,IF($B8&gt;0,M55*(1-S$15),0)))</f>
        <v>18.125168730631135</v>
      </c>
      <c r="T55" s="8">
        <f>IF(T$14="Increase",IF(C55="y",F55*(1+T$15),0),IF(C55="y",F55*(1-T$15),0))</f>
        <v>0</v>
      </c>
      <c r="U55" s="2">
        <f>SUM(O55:T55)</f>
        <v>67.073877704136549</v>
      </c>
    </row>
    <row r="56" spans="1:21" x14ac:dyDescent="0.25">
      <c r="A56" s="4"/>
      <c r="B56" s="37"/>
      <c r="C56" s="38"/>
      <c r="D56" s="46"/>
      <c r="E56" s="9"/>
      <c r="F56" s="9"/>
      <c r="G56" s="4"/>
      <c r="H56" s="4"/>
      <c r="I56" s="4"/>
      <c r="J56" s="4"/>
      <c r="K56" s="4"/>
      <c r="L56" s="4"/>
      <c r="M56" s="4"/>
      <c r="N56" s="4"/>
      <c r="O56" s="4"/>
      <c r="P56" s="4"/>
      <c r="Q56" s="4"/>
      <c r="R56" s="4"/>
      <c r="S56" s="4"/>
      <c r="T56" s="4"/>
    </row>
    <row r="57" spans="1:21" x14ac:dyDescent="0.25">
      <c r="A57" s="12" t="s">
        <v>37</v>
      </c>
      <c r="B57" s="37"/>
      <c r="C57" s="38"/>
      <c r="D57" s="46"/>
      <c r="E57" s="9"/>
      <c r="F57" s="9"/>
      <c r="G57" s="4"/>
      <c r="H57" s="4"/>
      <c r="I57" s="4"/>
      <c r="J57" s="4"/>
      <c r="K57" s="4"/>
      <c r="L57" s="4"/>
      <c r="M57" s="4"/>
      <c r="N57" s="4"/>
      <c r="O57" s="4"/>
      <c r="P57" s="4"/>
      <c r="Q57" s="4"/>
      <c r="R57" s="4"/>
      <c r="S57" s="4"/>
      <c r="T57" s="4"/>
    </row>
    <row r="58" spans="1:21" x14ac:dyDescent="0.25">
      <c r="A58" s="4" t="s">
        <v>38</v>
      </c>
      <c r="B58" s="37"/>
      <c r="C58" s="38"/>
      <c r="D58" s="46"/>
      <c r="E58" s="9"/>
      <c r="F58" s="9">
        <f>IF(D58&gt;0,D58,E58-(G58*B$2*1.05)+H58-I58*12.5+J58)</f>
        <v>0.74299137205387389</v>
      </c>
      <c r="G58" s="13">
        <v>4.7649999999999997</v>
      </c>
      <c r="H58" s="5">
        <f>G58*B$3*1.05</f>
        <v>13.7589375</v>
      </c>
      <c r="I58" s="14">
        <v>0.55976430976430969</v>
      </c>
      <c r="J58" s="5">
        <f t="shared" ref="J58:J60" si="50">I58*B$4*(1-B$7)+I58*B$6*(B$7)</f>
        <v>13.994107744107742</v>
      </c>
      <c r="K58" s="5">
        <f>F58-H58-J58</f>
        <v>-27.010053872053867</v>
      </c>
      <c r="L58" s="5">
        <f>K58*B$12</f>
        <v>-8.9133177777777757</v>
      </c>
      <c r="M58" s="5">
        <f>K58-L58</f>
        <v>-18.096736094276089</v>
      </c>
      <c r="N58" s="4"/>
      <c r="O58" s="5">
        <f>IF(O$14="Increase",IF(C58="y",0,IF($B58&gt;0,H58*$B58*(1+O$15),0)),IF(C58="y",0,IF($B58&gt;0,H58*$B58*(1-O$15),0)))</f>
        <v>0</v>
      </c>
      <c r="P58" s="5">
        <f>IF(P$14="Increase",IF(C58="y",0,IF($B58&gt;0,(I58*B$4*(1-B$7))*$B58*(1+P$15),0)),IF(C58="y",0,IF($B58&gt;0,(I58*B$4*(1-B$7))*$B58*(1-P$15),0)))</f>
        <v>0</v>
      </c>
      <c r="Q58" s="5">
        <f>IF(Q$14="Increase",IF(C58="y",0,IF($B58&gt;0,(I58*B$6*(B$7))*$B58*(1+Q$15),0)),IF(C58="y",0,IF($B58&gt;0,(I58*B$6*(B$7))*$B58*(1-Q$15),0)))</f>
        <v>0</v>
      </c>
      <c r="R58" s="5">
        <f>IF(R$14="Increase",IF(C58="y",0,IF($B58&gt;0,L58*$B58*(1+R$15),0)),IF(C58="y",0,IF($B58&gt;0,L58*$B58*(1-R$15),0)))</f>
        <v>0</v>
      </c>
      <c r="S58" s="5">
        <f>IF(S$14="Increase",IF(C58="y",0,IF($B58&gt;0,M58*$B58*(1+S$15),0)),IF(C58="y",0,IF($B58&gt;0,M58*$B58*(1-S$15),0)))</f>
        <v>0</v>
      </c>
      <c r="T58" s="5">
        <f>IF(T$14="Increase",IF(C58="y",F58*B58*(1+T$15),0),IF(C58="y",F58*B58*(1-T$15),0))</f>
        <v>0</v>
      </c>
    </row>
    <row r="59" spans="1:21" x14ac:dyDescent="0.25">
      <c r="A59" s="4" t="s">
        <v>25</v>
      </c>
      <c r="B59" s="37"/>
      <c r="C59" s="38"/>
      <c r="D59" s="46"/>
      <c r="E59" s="15"/>
      <c r="F59" s="9">
        <f>IF(D59&gt;0,D59,E59-(G59*B$2*1.05)+H59-I59*12.5+J59)</f>
        <v>0.68035216750841876</v>
      </c>
      <c r="G59" s="13">
        <v>3.7044999999999999</v>
      </c>
      <c r="H59" s="5">
        <f>G59*B$3*1.05</f>
        <v>10.69674375</v>
      </c>
      <c r="I59" s="14">
        <v>0.44340067340067341</v>
      </c>
      <c r="J59" s="5">
        <f t="shared" si="50"/>
        <v>11.085016835016836</v>
      </c>
      <c r="K59" s="5">
        <f>F59-H59-J59</f>
        <v>-21.101408417508416</v>
      </c>
      <c r="L59" s="5">
        <f>K59*B$12</f>
        <v>-6.9634647777777774</v>
      </c>
      <c r="M59" s="5">
        <f>K59-L59</f>
        <v>-14.13794363973064</v>
      </c>
      <c r="N59" s="4"/>
      <c r="O59" s="5">
        <f>IF(O$14="Increase",IF(C59="y",0,IF($B59&gt;0,H59*$B59*(1+O$15),0)),IF(C59="y",0,IF($B59&gt;0,H59*$B59*(1-O$15),0)))</f>
        <v>0</v>
      </c>
      <c r="P59" s="5">
        <f>IF(P$14="Increase",IF(C59="y",0,IF($B59&gt;0,(I59*B$4*(1-B$7))*$B59*(1+P$15),0)),IF(C59="y",0,IF($B59&gt;0,(I59*B$4*(1-B$7))*$B59*(1-P$15),0)))</f>
        <v>0</v>
      </c>
      <c r="Q59" s="5">
        <f>IF(Q$14="Increase",IF(C59="y",0,IF($B59&gt;0,(I59*B$6*(B$7))*$B59*(1+Q$15),0)),IF(C59="y",0,IF($B59&gt;0,(I59*B$6*(B$7))*$B59*(1-Q$15),0)))</f>
        <v>0</v>
      </c>
      <c r="R59" s="5">
        <f>IF(R$14="Increase",IF(C59="y",0,IF($B59&gt;0,L59*$B59*(1+R$15),0)),IF(C59="y",0,IF($B59&gt;0,L59*$B59*(1-R$15),0)))</f>
        <v>0</v>
      </c>
      <c r="S59" s="5">
        <f>IF(S$14="Increase",IF(C59="y",0,IF($B59&gt;0,M59*$B59*(1+S$15),0)),IF(C59="y",0,IF($B59&gt;0,M59*$B59*(1-S$15),0)))</f>
        <v>0</v>
      </c>
      <c r="T59" s="5">
        <f>IF(T$14="Increase",IF(C59="y",F59*B59*(1+T$15),0),IF(C59="y",F59*B59*(1-T$15),0))</f>
        <v>0</v>
      </c>
    </row>
    <row r="60" spans="1:21" x14ac:dyDescent="0.25">
      <c r="A60" s="4" t="s">
        <v>39</v>
      </c>
      <c r="B60" s="37"/>
      <c r="C60" s="38"/>
      <c r="D60" s="46"/>
      <c r="E60" s="15"/>
      <c r="F60" s="9">
        <f>IF(D60&gt;0,D60,E60-(G60*B$2*1.05)+H60-I60*12.5+J60)</f>
        <v>0.59994765361952673</v>
      </c>
      <c r="G60" s="13">
        <v>3.1837499999999999</v>
      </c>
      <c r="H60" s="5">
        <f>G60*B$3*1.05</f>
        <v>9.1930781249999995</v>
      </c>
      <c r="I60" s="14">
        <v>0.38228956228956223</v>
      </c>
      <c r="J60" s="5">
        <f t="shared" si="50"/>
        <v>9.5572390572390553</v>
      </c>
      <c r="K60" s="5">
        <f>F60-H60-J60</f>
        <v>-18.150369528619528</v>
      </c>
      <c r="L60" s="5">
        <f>K60*B$12</f>
        <v>-5.989621944444445</v>
      </c>
      <c r="M60" s="5">
        <f>K60-L60</f>
        <v>-12.160747584175084</v>
      </c>
      <c r="N60" s="4"/>
      <c r="O60" s="5">
        <f>IF(O$14="Increase",IF(C60="y",0,IF($B60&gt;0,H60*$B60*(1+O$15),0)),IF(C60="y",0,IF($B60&gt;0,H60*$B60*(1-O$15),0)))</f>
        <v>0</v>
      </c>
      <c r="P60" s="5">
        <f>IF(P$14="Increase",IF(C60="y",0,IF($B60&gt;0,(I60*B$4*(1-B$7))*$B60*(1+P$15),0)),IF(C60="y",0,IF($B60&gt;0,(I60*B$4*(1-B$7))*$B60*(1-P$15),0)))</f>
        <v>0</v>
      </c>
      <c r="Q60" s="5">
        <f>IF(Q$14="Increase",IF(C60="y",0,IF($B60&gt;0,(I60*B$6*(B$7))*$B60*(1+Q$15),0)),IF(C60="y",0,IF($B60&gt;0,(I60*B$6*(B$7))*$B60*(1-Q$15),0)))</f>
        <v>0</v>
      </c>
      <c r="R60" s="5">
        <f>IF(R$14="Increase",IF(C60="y",0,IF($B60&gt;0,L60*$B60*(1+R$15),0)),IF(C60="y",0,IF($B60&gt;0,L60*$B60*(1-R$15),0)))</f>
        <v>0</v>
      </c>
      <c r="S60" s="5">
        <f>IF(S$14="Increase",IF(C60="y",0,IF($B60&gt;0,M60*$B60*(1+S$15),0)),IF(C60="y",0,IF($B60&gt;0,M60*$B60*(1-S$15),0)))</f>
        <v>0</v>
      </c>
      <c r="T60" s="5">
        <f>IF(T$14="Increase",IF(C60="y",F60*B60*(1+T$15),0),IF(C60="y",F60*B60*(1-T$15),0))</f>
        <v>0</v>
      </c>
    </row>
    <row r="61" spans="1:21" x14ac:dyDescent="0.25">
      <c r="A61" s="4"/>
      <c r="B61" s="37"/>
      <c r="C61" s="38"/>
      <c r="D61" s="46"/>
      <c r="E61" s="9"/>
      <c r="F61" s="9"/>
      <c r="G61" s="4"/>
      <c r="H61" s="4"/>
      <c r="I61" s="4"/>
      <c r="J61" s="4"/>
      <c r="K61" s="4"/>
      <c r="L61" s="4"/>
      <c r="M61" s="4"/>
      <c r="N61" s="4"/>
      <c r="O61" s="4"/>
      <c r="P61" s="4"/>
      <c r="Q61" s="4"/>
      <c r="R61" s="4"/>
      <c r="S61" s="4"/>
      <c r="T61" s="4"/>
    </row>
    <row r="62" spans="1:21" x14ac:dyDescent="0.25">
      <c r="A62" s="12" t="s">
        <v>40</v>
      </c>
      <c r="B62" s="37"/>
      <c r="C62" s="38"/>
      <c r="D62" s="46"/>
      <c r="E62" s="9"/>
      <c r="F62" s="9"/>
      <c r="G62" s="4"/>
      <c r="H62" s="4"/>
      <c r="I62" s="4"/>
      <c r="J62" s="4"/>
      <c r="K62" s="4"/>
      <c r="L62" s="4"/>
      <c r="M62" s="4"/>
      <c r="N62" s="4"/>
      <c r="O62" s="4"/>
      <c r="P62" s="4"/>
      <c r="Q62" s="4"/>
      <c r="R62" s="4"/>
      <c r="S62" s="4"/>
      <c r="T62" s="4"/>
    </row>
    <row r="63" spans="1:21" x14ac:dyDescent="0.25">
      <c r="A63" s="4" t="s">
        <v>41</v>
      </c>
      <c r="B63" s="37">
        <v>1.5</v>
      </c>
      <c r="C63" s="38"/>
      <c r="D63" s="46"/>
      <c r="E63" s="9">
        <v>7.5277551208323636</v>
      </c>
      <c r="F63" s="9">
        <f t="shared" ref="F63:F69" si="51">IF(D63&gt;0,D63,E63-(G63*B$2*1.05)+H63-I63*12.5+J63)</f>
        <v>7.5906019259017574</v>
      </c>
      <c r="G63" s="13">
        <v>0.3248383916323731</v>
      </c>
      <c r="H63" s="5">
        <f t="shared" ref="H63:H69" si="52">G63*B$3*1.05</f>
        <v>0.93797085583847739</v>
      </c>
      <c r="I63" s="14">
        <v>3.9135775526950654E-2</v>
      </c>
      <c r="J63" s="5">
        <f t="shared" ref="J63:J69" si="53">I63*B$4*(1-B$7)+I63*B$6*(B$7)</f>
        <v>0.97839438817376634</v>
      </c>
      <c r="K63" s="5">
        <f t="shared" ref="K63:K69" si="54">F63-H63-J63</f>
        <v>5.6742366818895134</v>
      </c>
      <c r="L63" s="5">
        <f t="shared" ref="L63:L69" si="55">K63*B$12</f>
        <v>1.8724981050235394</v>
      </c>
      <c r="M63" s="5">
        <f t="shared" ref="M63:M69" si="56">K63-L63</f>
        <v>3.8017385768659739</v>
      </c>
      <c r="N63" s="4"/>
      <c r="O63" s="5">
        <f t="shared" ref="O63:O69" si="57">IF(O$14="Increase",IF(C63="y",0,IF($B63&gt;0,H63*$B63*(1+O$15),0)),IF(C63="y",0,IF($B63&gt;0,H63*$B63*(1-O$15),0)))</f>
        <v>1.6179997263213735</v>
      </c>
      <c r="P63" s="5">
        <f t="shared" ref="P63:P69" si="58">IF(P$14="Increase",IF(C63="y",0,IF($B63&gt;0,(I63*B$4*(1-B$7))*$B63*(1+P$15),0)),IF(C63="y",0,IF($B63&gt;0,(I63*B$4*(1-B$7))*$B63*(1-P$15),0)))</f>
        <v>1.6877303195997468</v>
      </c>
      <c r="Q63" s="5">
        <f t="shared" ref="Q63:Q69" si="59">IF(Q$14="Increase",IF(C63="y",0,IF($B63&gt;0,(I63*B$6*(B$7))*$B63*(1+Q$15),0)),IF(C63="y",0,IF($B63&gt;0,(I63*B$6*(B$7))*$B63*(1-Q$15),0)))</f>
        <v>0</v>
      </c>
      <c r="R63" s="5">
        <f t="shared" ref="R63:R69" si="60">IF(R$14="Increase",IF(C63="y",0,IF($B63&gt;0,L63*$B63*(1+R$15),0)),IF(C63="y",0,IF($B63&gt;0,L63*$B63*(1-R$15),0)))</f>
        <v>3.2300592311656051</v>
      </c>
      <c r="S63" s="5">
        <f t="shared" ref="S63:S69" si="61">IF(S$14="Increase",IF(C63="y",0,IF($B63&gt;0,M63*$B63*(1+S$15),0)),IF(C63="y",0,IF($B63&gt;0,M63*$B63*(1-S$15),0)))</f>
        <v>6.5579990450938048</v>
      </c>
      <c r="T63" s="5">
        <f t="shared" ref="T63:T69" si="62">IF(T$14="Increase",IF(C63="y",F63*B63*(1+T$15),0),IF(C63="y",F63*B63*(1-T$15),0))</f>
        <v>0</v>
      </c>
    </row>
    <row r="64" spans="1:21" x14ac:dyDescent="0.25">
      <c r="A64" s="4" t="s">
        <v>42</v>
      </c>
      <c r="B64" s="37"/>
      <c r="C64" s="38"/>
      <c r="D64" s="46"/>
      <c r="E64" s="9"/>
      <c r="F64" s="9">
        <f t="shared" si="51"/>
        <v>8.0223449101978206E-2</v>
      </c>
      <c r="G64" s="13">
        <v>0.41465363511659803</v>
      </c>
      <c r="H64" s="5">
        <f t="shared" si="52"/>
        <v>1.1973123713991767</v>
      </c>
      <c r="I64" s="14">
        <v>4.9956507615401075E-2</v>
      </c>
      <c r="J64" s="5">
        <f t="shared" si="53"/>
        <v>1.2489126903850269</v>
      </c>
      <c r="K64" s="5">
        <f t="shared" si="54"/>
        <v>-2.3660016126822256</v>
      </c>
      <c r="L64" s="5">
        <f t="shared" si="55"/>
        <v>-0.78078053218513455</v>
      </c>
      <c r="M64" s="5">
        <f t="shared" si="56"/>
        <v>-1.585221080497091</v>
      </c>
      <c r="N64" s="4"/>
      <c r="O64" s="5">
        <f t="shared" si="57"/>
        <v>0</v>
      </c>
      <c r="P64" s="5">
        <f t="shared" si="58"/>
        <v>0</v>
      </c>
      <c r="Q64" s="5">
        <f t="shared" si="59"/>
        <v>0</v>
      </c>
      <c r="R64" s="5">
        <f t="shared" si="60"/>
        <v>0</v>
      </c>
      <c r="S64" s="5">
        <f t="shared" si="61"/>
        <v>0</v>
      </c>
      <c r="T64" s="5">
        <f t="shared" si="62"/>
        <v>0</v>
      </c>
    </row>
    <row r="65" spans="1:20" x14ac:dyDescent="0.25">
      <c r="A65" s="4" t="s">
        <v>43</v>
      </c>
      <c r="B65" s="37"/>
      <c r="C65" s="38"/>
      <c r="D65" s="46"/>
      <c r="E65" s="9"/>
      <c r="F65" s="9">
        <f t="shared" si="51"/>
        <v>0.13299129030518841</v>
      </c>
      <c r="G65" s="13">
        <v>0.68739654778235015</v>
      </c>
      <c r="H65" s="5">
        <f t="shared" si="52"/>
        <v>1.9848575317215362</v>
      </c>
      <c r="I65" s="14">
        <v>8.281594074156183E-2</v>
      </c>
      <c r="J65" s="5">
        <f t="shared" si="53"/>
        <v>2.0703985185390459</v>
      </c>
      <c r="K65" s="5">
        <f t="shared" si="54"/>
        <v>-3.9222647599553939</v>
      </c>
      <c r="L65" s="5">
        <f t="shared" si="55"/>
        <v>-1.2943473707852799</v>
      </c>
      <c r="M65" s="5">
        <f t="shared" si="56"/>
        <v>-2.627917389170114</v>
      </c>
      <c r="N65" s="4"/>
      <c r="O65" s="5">
        <f t="shared" si="57"/>
        <v>0</v>
      </c>
      <c r="P65" s="5">
        <f t="shared" si="58"/>
        <v>0</v>
      </c>
      <c r="Q65" s="5">
        <f t="shared" si="59"/>
        <v>0</v>
      </c>
      <c r="R65" s="5">
        <f t="shared" si="60"/>
        <v>0</v>
      </c>
      <c r="S65" s="5">
        <f t="shared" si="61"/>
        <v>0</v>
      </c>
      <c r="T65" s="5">
        <f t="shared" si="62"/>
        <v>0</v>
      </c>
    </row>
    <row r="66" spans="1:20" x14ac:dyDescent="0.25">
      <c r="A66" s="4" t="s">
        <v>44</v>
      </c>
      <c r="B66" s="37"/>
      <c r="C66" s="38"/>
      <c r="D66" s="46"/>
      <c r="E66" s="9"/>
      <c r="F66" s="9">
        <f t="shared" si="51"/>
        <v>7.673281047693048E-2</v>
      </c>
      <c r="G66" s="13">
        <v>0.39661145404663922</v>
      </c>
      <c r="H66" s="5">
        <f t="shared" si="52"/>
        <v>1.1452155735596707</v>
      </c>
      <c r="I66" s="14">
        <v>4.778282751305156E-2</v>
      </c>
      <c r="J66" s="5">
        <f t="shared" si="53"/>
        <v>1.1945706878262889</v>
      </c>
      <c r="K66" s="5">
        <f t="shared" si="54"/>
        <v>-2.2630534509090294</v>
      </c>
      <c r="L66" s="5">
        <f t="shared" si="55"/>
        <v>-0.7468076387999798</v>
      </c>
      <c r="M66" s="5">
        <f t="shared" si="56"/>
        <v>-1.5162458121090496</v>
      </c>
      <c r="N66" s="4"/>
      <c r="O66" s="5">
        <f t="shared" si="57"/>
        <v>0</v>
      </c>
      <c r="P66" s="5">
        <f t="shared" si="58"/>
        <v>0</v>
      </c>
      <c r="Q66" s="5">
        <f t="shared" si="59"/>
        <v>0</v>
      </c>
      <c r="R66" s="5">
        <f t="shared" si="60"/>
        <v>0</v>
      </c>
      <c r="S66" s="5">
        <f t="shared" si="61"/>
        <v>0</v>
      </c>
      <c r="T66" s="5">
        <f t="shared" si="62"/>
        <v>0</v>
      </c>
    </row>
    <row r="67" spans="1:20" x14ac:dyDescent="0.25">
      <c r="A67" s="4" t="s">
        <v>45</v>
      </c>
      <c r="B67" s="37">
        <v>0</v>
      </c>
      <c r="C67" s="38"/>
      <c r="D67" s="46"/>
      <c r="E67" s="9">
        <v>16.297390564231826</v>
      </c>
      <c r="F67" s="9">
        <f t="shared" si="51"/>
        <v>16.431320856740243</v>
      </c>
      <c r="G67" s="13">
        <v>0.69225000000000003</v>
      </c>
      <c r="H67" s="5">
        <f t="shared" si="52"/>
        <v>1.9988718750000003</v>
      </c>
      <c r="I67" s="14">
        <v>8.3400673400673392E-2</v>
      </c>
      <c r="J67" s="5">
        <f t="shared" si="53"/>
        <v>2.0850168350168348</v>
      </c>
      <c r="K67" s="5">
        <f t="shared" si="54"/>
        <v>12.347432146723406</v>
      </c>
      <c r="L67" s="5">
        <f t="shared" si="55"/>
        <v>4.0746526084187247</v>
      </c>
      <c r="M67" s="5">
        <f t="shared" si="56"/>
        <v>8.2727795383046825</v>
      </c>
      <c r="N67" s="4"/>
      <c r="O67" s="5">
        <f t="shared" si="57"/>
        <v>0</v>
      </c>
      <c r="P67" s="5">
        <f t="shared" si="58"/>
        <v>0</v>
      </c>
      <c r="Q67" s="5">
        <f t="shared" si="59"/>
        <v>0</v>
      </c>
      <c r="R67" s="5">
        <f t="shared" si="60"/>
        <v>0</v>
      </c>
      <c r="S67" s="5">
        <f t="shared" si="61"/>
        <v>0</v>
      </c>
      <c r="T67" s="5">
        <f t="shared" si="62"/>
        <v>0</v>
      </c>
    </row>
    <row r="68" spans="1:20" x14ac:dyDescent="0.25">
      <c r="A68" s="4" t="s">
        <v>46</v>
      </c>
      <c r="B68" s="37"/>
      <c r="C68" s="38"/>
      <c r="D68" s="46"/>
      <c r="E68" s="9"/>
      <c r="F68" s="9">
        <f t="shared" si="51"/>
        <v>8.6117729236379503E-2</v>
      </c>
      <c r="G68" s="13">
        <v>0.44511959876543206</v>
      </c>
      <c r="H68" s="5">
        <f t="shared" si="52"/>
        <v>1.2852828414351851</v>
      </c>
      <c r="I68" s="14">
        <v>5.3626976209280725E-2</v>
      </c>
      <c r="J68" s="5">
        <f t="shared" si="53"/>
        <v>1.3406744052320181</v>
      </c>
      <c r="K68" s="5">
        <f t="shared" si="54"/>
        <v>-2.5398395174308237</v>
      </c>
      <c r="L68" s="5">
        <f t="shared" si="55"/>
        <v>-0.83814704075217183</v>
      </c>
      <c r="M68" s="5">
        <f t="shared" si="56"/>
        <v>-1.7016924766786519</v>
      </c>
      <c r="N68" s="4"/>
      <c r="O68" s="5">
        <f t="shared" si="57"/>
        <v>0</v>
      </c>
      <c r="P68" s="5">
        <f t="shared" si="58"/>
        <v>0</v>
      </c>
      <c r="Q68" s="5">
        <f t="shared" si="59"/>
        <v>0</v>
      </c>
      <c r="R68" s="5">
        <f t="shared" si="60"/>
        <v>0</v>
      </c>
      <c r="S68" s="5">
        <f t="shared" si="61"/>
        <v>0</v>
      </c>
      <c r="T68" s="5">
        <f t="shared" si="62"/>
        <v>0</v>
      </c>
    </row>
    <row r="69" spans="1:20" x14ac:dyDescent="0.25">
      <c r="A69" s="4" t="s">
        <v>47</v>
      </c>
      <c r="B69" s="37"/>
      <c r="C69" s="38"/>
      <c r="D69" s="46"/>
      <c r="E69" s="9"/>
      <c r="F69" s="9">
        <f t="shared" si="51"/>
        <v>0.2151029503593116</v>
      </c>
      <c r="G69" s="13">
        <v>1.1118098422496572</v>
      </c>
      <c r="H69" s="5">
        <f t="shared" si="52"/>
        <v>3.2103509194958852</v>
      </c>
      <c r="I69" s="14">
        <v>0.13394826946495897</v>
      </c>
      <c r="J69" s="5">
        <f t="shared" si="53"/>
        <v>3.3487067366239742</v>
      </c>
      <c r="K69" s="5">
        <f t="shared" si="54"/>
        <v>-6.3439547057605479</v>
      </c>
      <c r="L69" s="5">
        <f t="shared" si="55"/>
        <v>-2.0935050529009809</v>
      </c>
      <c r="M69" s="5">
        <f t="shared" si="56"/>
        <v>-4.250449652859567</v>
      </c>
      <c r="N69" s="4"/>
      <c r="O69" s="5">
        <f t="shared" si="57"/>
        <v>0</v>
      </c>
      <c r="P69" s="5">
        <f t="shared" si="58"/>
        <v>0</v>
      </c>
      <c r="Q69" s="5">
        <f t="shared" si="59"/>
        <v>0</v>
      </c>
      <c r="R69" s="5">
        <f t="shared" si="60"/>
        <v>0</v>
      </c>
      <c r="S69" s="5">
        <f t="shared" si="61"/>
        <v>0</v>
      </c>
      <c r="T69" s="5">
        <f t="shared" si="62"/>
        <v>0</v>
      </c>
    </row>
    <row r="70" spans="1:20" x14ac:dyDescent="0.25">
      <c r="A70" s="4"/>
      <c r="B70" s="37"/>
      <c r="C70" s="38"/>
      <c r="D70" s="46"/>
      <c r="E70" s="9"/>
      <c r="F70" s="9"/>
      <c r="G70" s="4"/>
      <c r="H70" s="4"/>
      <c r="I70" s="4"/>
      <c r="J70" s="4"/>
      <c r="K70" s="4"/>
      <c r="L70" s="4"/>
      <c r="M70" s="4"/>
      <c r="N70" s="4"/>
      <c r="O70" s="4"/>
      <c r="P70" s="4"/>
      <c r="Q70" s="4"/>
      <c r="R70" s="4"/>
      <c r="S70" s="4"/>
      <c r="T70" s="4"/>
    </row>
    <row r="71" spans="1:20" x14ac:dyDescent="0.25">
      <c r="A71" s="12" t="s">
        <v>48</v>
      </c>
      <c r="B71" s="37"/>
      <c r="C71" s="38"/>
      <c r="D71" s="46"/>
      <c r="E71" s="9"/>
      <c r="F71" s="9"/>
      <c r="G71" s="4"/>
      <c r="H71" s="4"/>
      <c r="I71" s="4"/>
      <c r="J71" s="4"/>
      <c r="K71" s="4"/>
      <c r="L71" s="4"/>
      <c r="M71" s="4"/>
      <c r="N71" s="4"/>
      <c r="O71" s="4"/>
      <c r="P71" s="4"/>
      <c r="Q71" s="4"/>
      <c r="R71" s="4"/>
      <c r="S71" s="4"/>
      <c r="T71" s="4"/>
    </row>
    <row r="72" spans="1:20" x14ac:dyDescent="0.25">
      <c r="A72" s="4" t="s">
        <v>49</v>
      </c>
      <c r="B72" s="37">
        <v>2</v>
      </c>
      <c r="C72" s="38"/>
      <c r="D72" s="46"/>
      <c r="E72" s="9">
        <v>8.5532319481546608</v>
      </c>
      <c r="F72" s="9">
        <f>IF(D72&gt;0,D72,E72-(G72*B$2*1.05)+H72-I72*12.5+J72)</f>
        <v>8.7730288231546609</v>
      </c>
      <c r="G72" s="13">
        <v>0.11825000000000001</v>
      </c>
      <c r="H72" s="5">
        <f>G72*B$3*1.05</f>
        <v>0.34144687500000004</v>
      </c>
      <c r="I72" s="14">
        <v>0.03</v>
      </c>
      <c r="J72" s="5">
        <f t="shared" ref="J72:J74" si="63">I72*B$4*(1-B$7)+I72*B$6*(B$7)</f>
        <v>0.75</v>
      </c>
      <c r="K72" s="5">
        <f>F72-H72-J72</f>
        <v>7.6815819481546601</v>
      </c>
      <c r="L72" s="5">
        <f>K72*B$12</f>
        <v>2.5349220428910382</v>
      </c>
      <c r="M72" s="5">
        <f>K72-L72</f>
        <v>5.1466599052636219</v>
      </c>
      <c r="N72" s="4"/>
      <c r="O72" s="5">
        <f>IF(O$14="Increase",IF(C72="y",0,IF($B72&gt;0,H72*$B72*(1+O$15),0)),IF(C72="y",0,IF($B72&gt;0,H72*$B72*(1-O$15),0)))</f>
        <v>0.78532781250000006</v>
      </c>
      <c r="P72" s="5">
        <f>IF(P$14="Increase",IF(C72="y",0,IF($B72&gt;0,(I72*B$4*(1-B$7))*$B72*(1+P$15),0)),IF(C72="y",0,IF($B72&gt;0,(I72*B$4*(1-B$7))*$B72*(1-P$15),0)))</f>
        <v>1.7249999999999999</v>
      </c>
      <c r="Q72" s="5">
        <f>IF(Q$14="Increase",IF(C72="y",0,IF($B72&gt;0,(I72*B$6*(B$7))*$B72*(1+Q$15),0)),IF(C72="y",0,IF($B72&gt;0,(I72*B$6*(B$7))*$B72*(1-Q$15),0)))</f>
        <v>0</v>
      </c>
      <c r="R72" s="5">
        <f>IF(R$14="Increase",IF(C72="y",0,IF($B72&gt;0,L72*$B72*(1+R$15),0)),IF(C72="y",0,IF($B72&gt;0,L72*$B72*(1-R$15),0)))</f>
        <v>5.8303206986493876</v>
      </c>
      <c r="S72" s="5">
        <f>IF(S$14="Increase",IF(C72="y",0,IF($B72&gt;0,M72*$B72*(1+S$15),0)),IF(C72="y",0,IF($B72&gt;0,M72*$B72*(1-S$15),0)))</f>
        <v>11.837317782106329</v>
      </c>
      <c r="T72" s="5">
        <f>IF(T$14="Increase",IF(C72="y",F72*B72*(1+T$15),0),IF(C72="y",F72*B72*(1-T$15),0))</f>
        <v>0</v>
      </c>
    </row>
    <row r="73" spans="1:20" x14ac:dyDescent="0.25">
      <c r="A73" s="4" t="s">
        <v>50</v>
      </c>
      <c r="B73" s="37"/>
      <c r="C73" s="38"/>
      <c r="D73" s="46"/>
      <c r="E73" s="9"/>
      <c r="F73" s="9">
        <f>IF(D73&gt;0,D73,E73-(G73*B$2*1.05)+H73-I73*12.5+J73)</f>
        <v>0.40978587962962953</v>
      </c>
      <c r="G73" s="13">
        <v>0.16750000000000001</v>
      </c>
      <c r="H73" s="5">
        <f>G73*B$3*1.05</f>
        <v>0.48365625000000001</v>
      </c>
      <c r="I73" s="14">
        <v>5.0370370370370371E-2</v>
      </c>
      <c r="J73" s="5">
        <f t="shared" si="63"/>
        <v>1.2592592592592593</v>
      </c>
      <c r="K73" s="5">
        <f>F73-H73-J73</f>
        <v>-1.3331296296296298</v>
      </c>
      <c r="L73" s="5">
        <f>K73*B$12</f>
        <v>-0.43993277777777784</v>
      </c>
      <c r="M73" s="5">
        <f>K73-L73</f>
        <v>-0.89319685185185194</v>
      </c>
      <c r="N73" s="4"/>
      <c r="O73" s="5">
        <f>IF(O$14="Increase",IF(C73="y",0,IF($B73&gt;0,H73*$B73*(1+O$15),0)),IF(C73="y",0,IF($B73&gt;0,H73*$B73*(1-O$15),0)))</f>
        <v>0</v>
      </c>
      <c r="P73" s="5">
        <f>IF(P$14="Increase",IF(C73="y",0,IF($B73&gt;0,(I73*B$4*(1-B$7))*$B73*(1+P$15),0)),IF(C73="y",0,IF($B73&gt;0,(I73*B$4*(1-B$7))*$B73*(1-P$15),0)))</f>
        <v>0</v>
      </c>
      <c r="Q73" s="5">
        <f>IF(Q$14="Increase",IF(C73="y",0,IF($B73&gt;0,(I73*B$6*(B$7))*$B73*(1+Q$15),0)),IF(C73="y",0,IF($B73&gt;0,(I73*B$6*(B$7))*$B73*(1-Q$15),0)))</f>
        <v>0</v>
      </c>
      <c r="R73" s="5">
        <f>IF(R$14="Increase",IF(C73="y",0,IF($B73&gt;0,L73*$B73*(1+R$15),0)),IF(C73="y",0,IF($B73&gt;0,L73*$B73*(1-R$15),0)))</f>
        <v>0</v>
      </c>
      <c r="S73" s="5">
        <f>IF(S$14="Increase",IF(C73="y",0,IF($B73&gt;0,M73*$B73*(1+S$15),0)),IF(C73="y",0,IF($B73&gt;0,M73*$B73*(1-S$15),0)))</f>
        <v>0</v>
      </c>
      <c r="T73" s="5">
        <f>IF(T$14="Increase",IF(C73="y",F73*B73*(1+T$15),0),IF(C73="y",F73*B73*(1-T$15),0))</f>
        <v>0</v>
      </c>
    </row>
    <row r="74" spans="1:20" x14ac:dyDescent="0.25">
      <c r="A74" s="4" t="s">
        <v>51</v>
      </c>
      <c r="B74" s="37"/>
      <c r="C74" s="38"/>
      <c r="D74" s="46"/>
      <c r="E74" s="9"/>
      <c r="F74" s="9">
        <f>IF(D74&gt;0,D74,E74-(G74*B$2*1.05)+H74-I74*12.5+J74)</f>
        <v>4.0810185185185144E-2</v>
      </c>
      <c r="G74" s="13">
        <v>0.11</v>
      </c>
      <c r="H74" s="5">
        <f>G74*B$3*1.05</f>
        <v>0.31762499999999999</v>
      </c>
      <c r="I74" s="14">
        <v>1.4814814814814815E-2</v>
      </c>
      <c r="J74" s="5">
        <f t="shared" si="63"/>
        <v>0.37037037037037041</v>
      </c>
      <c r="K74" s="5">
        <f>F74-H74-J74</f>
        <v>-0.64718518518518531</v>
      </c>
      <c r="L74" s="5">
        <f>K74*B$12</f>
        <v>-0.21357111111111116</v>
      </c>
      <c r="M74" s="5">
        <f>K74-L74</f>
        <v>-0.43361407407407415</v>
      </c>
      <c r="N74" s="4"/>
      <c r="O74" s="5">
        <f>IF(O$14="Increase",IF(C74="y",0,IF($B74&gt;0,H74*$B74*(1+O$15),0)),IF(C74="y",0,IF($B74&gt;0,H74*$B74*(1-O$15),0)))</f>
        <v>0</v>
      </c>
      <c r="P74" s="5">
        <f>IF(P$14="Increase",IF(C74="y",0,IF($B74&gt;0,(I74*B$4*(1-B$7))*$B74*(1+P$15),0)),IF(C74="y",0,IF($B74&gt;0,(I74*B$4*(1-B$7))*$B74*(1-P$15),0)))</f>
        <v>0</v>
      </c>
      <c r="Q74" s="5">
        <f>IF(Q$14="Increase",IF(C74="y",0,IF($B74&gt;0,(I74*B$6*(B$7))*$B74*(1+Q$15),0)),IF(C74="y",0,IF($B74&gt;0,(I74*B$6*(B$7))*$B74*(1-Q$15),0)))</f>
        <v>0</v>
      </c>
      <c r="R74" s="5">
        <f>IF(R$14="Increase",IF(C74="y",0,IF($B74&gt;0,L74*$B74*(1+R$15),0)),IF(C74="y",0,IF($B74&gt;0,L74*$B74*(1-R$15),0)))</f>
        <v>0</v>
      </c>
      <c r="S74" s="5">
        <f>IF(S$14="Increase",IF(C74="y",0,IF($B74&gt;0,M74*$B74*(1+S$15),0)),IF(C74="y",0,IF($B74&gt;0,M74*$B74*(1-S$15),0)))</f>
        <v>0</v>
      </c>
      <c r="T74" s="5">
        <f>IF(T$14="Increase",IF(C74="y",F74*B74*(1+T$15),0),IF(C74="y",F74*B74*(1-T$15),0))</f>
        <v>0</v>
      </c>
    </row>
    <row r="75" spans="1:20" x14ac:dyDescent="0.25">
      <c r="A75" s="4"/>
      <c r="B75" s="37"/>
      <c r="C75" s="38"/>
      <c r="D75" s="46"/>
      <c r="E75" s="9"/>
      <c r="F75" s="9"/>
      <c r="G75" s="4"/>
      <c r="H75" s="4"/>
      <c r="I75" s="4"/>
      <c r="J75" s="4"/>
      <c r="K75" s="4"/>
      <c r="L75" s="4"/>
      <c r="M75" s="4"/>
      <c r="N75" s="4"/>
      <c r="O75" s="4"/>
      <c r="P75" s="4"/>
      <c r="Q75" s="4"/>
      <c r="R75" s="4"/>
      <c r="S75" s="4"/>
      <c r="T75" s="4"/>
    </row>
    <row r="76" spans="1:20" x14ac:dyDescent="0.25">
      <c r="A76" s="12" t="s">
        <v>52</v>
      </c>
      <c r="B76" s="37"/>
      <c r="C76" s="38"/>
      <c r="D76" s="46"/>
      <c r="E76" s="9"/>
      <c r="F76" s="9"/>
      <c r="G76" s="4"/>
      <c r="H76" s="4"/>
      <c r="I76" s="4"/>
      <c r="J76" s="4"/>
      <c r="K76" s="4"/>
      <c r="L76" s="4"/>
      <c r="M76" s="4"/>
      <c r="N76" s="4"/>
      <c r="O76" s="4"/>
      <c r="P76" s="4"/>
      <c r="Q76" s="4"/>
      <c r="R76" s="4"/>
      <c r="S76" s="4"/>
      <c r="T76" s="4"/>
    </row>
    <row r="77" spans="1:20" x14ac:dyDescent="0.25">
      <c r="A77" s="4" t="s">
        <v>53</v>
      </c>
      <c r="B77" s="37"/>
      <c r="C77" s="38"/>
      <c r="D77" s="46"/>
      <c r="E77" s="9"/>
      <c r="F77" s="9">
        <f>IF(D77&gt;0,D77,E77-(G77*B$2*1.05)+H77-I77*12.5+J77)</f>
        <v>0.12907523148148137</v>
      </c>
      <c r="G77" s="13">
        <v>0.26850000000000002</v>
      </c>
      <c r="H77" s="5">
        <f>G77*B$3*1.05</f>
        <v>0.77529375</v>
      </c>
      <c r="I77" s="14">
        <v>3.8518518518518521E-2</v>
      </c>
      <c r="J77" s="5">
        <f t="shared" ref="J77:J78" si="64">I77*B$4*(1-B$7)+I77*B$6*(B$7)</f>
        <v>0.96296296296296302</v>
      </c>
      <c r="K77" s="5">
        <f>F77-H77-J77</f>
        <v>-1.6091814814814818</v>
      </c>
      <c r="L77" s="5">
        <f>K77*B$12</f>
        <v>-0.53102988888888902</v>
      </c>
      <c r="M77" s="5">
        <f>K77-L77</f>
        <v>-1.0781515925925929</v>
      </c>
      <c r="N77" s="4"/>
      <c r="O77" s="5">
        <f>IF(O$14="Increase",IF(C77="y",0,IF($B77&gt;0,H77*$B77*(1+O$15),0)),IF(C77="y",0,IF($B77&gt;0,H77*$B77*(1-O$15),0)))</f>
        <v>0</v>
      </c>
      <c r="P77" s="5">
        <f>IF(P$14="Increase",IF(C77="y",0,IF($B77&gt;0,(I77*B$4*(1-B$7))*$B77*(1+P$15),0)),IF(C77="y",0,IF($B77&gt;0,(I77*B$4*(1-B$7))*$B77*(1-P$15),0)))</f>
        <v>0</v>
      </c>
      <c r="Q77" s="5">
        <f>IF(Q$14="Increase",IF(C77="y",0,IF($B77&gt;0,(I77*B$6*(B$7))*$B77*(1+Q$15),0)),IF(C77="y",0,IF($B77&gt;0,(I77*B$6*(B$7))*$B77*(1-Q$15),0)))</f>
        <v>0</v>
      </c>
      <c r="R77" s="5">
        <f>IF(R$14="Increase",IF(C77="y",0,IF($B77&gt;0,L77*$B77*(1+R$15),0)),IF(C77="y",0,IF($B77&gt;0,L77*$B77*(1-R$15),0)))</f>
        <v>0</v>
      </c>
      <c r="S77" s="5">
        <f>IF(S$14="Increase",IF(C77="y",0,IF($B77&gt;0,M77*$B77*(1+S$15),0)),IF(C77="y",0,IF($B77&gt;0,M77*$B77*(1-S$15),0)))</f>
        <v>0</v>
      </c>
      <c r="T77" s="5">
        <f>IF(T$14="Increase",IF(C77="y",F77*B77*(1+T$15),0),IF(C77="y",F77*B77*(1-T$15),0))</f>
        <v>0</v>
      </c>
    </row>
    <row r="78" spans="1:20" x14ac:dyDescent="0.25">
      <c r="A78" s="4" t="s">
        <v>54</v>
      </c>
      <c r="B78" s="37"/>
      <c r="C78" s="38"/>
      <c r="D78" s="46"/>
      <c r="E78" s="9"/>
      <c r="F78" s="9">
        <f>IF(D78&gt;0,D78,E78-(G78*B$2*1.05)+H78-I78*12.5+J78)</f>
        <v>0.367395622895623</v>
      </c>
      <c r="G78" s="13">
        <v>0.52800000000000002</v>
      </c>
      <c r="H78" s="5">
        <f>G78*B$3*1.05</f>
        <v>1.5246</v>
      </c>
      <c r="I78" s="14">
        <v>8.4831649831649841E-2</v>
      </c>
      <c r="J78" s="5">
        <f t="shared" si="64"/>
        <v>2.1207912457912461</v>
      </c>
      <c r="K78" s="5">
        <f>F78-H78-J78</f>
        <v>-3.2779956228956229</v>
      </c>
      <c r="L78" s="5">
        <f>K78*B$12</f>
        <v>-1.0817385555555556</v>
      </c>
      <c r="M78" s="5">
        <f>K78-L78</f>
        <v>-2.196257067340067</v>
      </c>
      <c r="N78" s="4"/>
      <c r="O78" s="5">
        <f>IF(O$14="Increase",IF(C78="y",0,IF($B78&gt;0,H78*$B78*(1+O$15),0)),IF(C78="y",0,IF($B78&gt;0,H78*$B78*(1-O$15),0)))</f>
        <v>0</v>
      </c>
      <c r="P78" s="5">
        <f>IF(P$14="Increase",IF(C78="y",0,IF($B78&gt;0,(I78*B$4*(1-B$7))*$B78*(1+P$15),0)),IF(C78="y",0,IF($B78&gt;0,(I78*B$4*(1-B$7))*$B78*(1-P$15),0)))</f>
        <v>0</v>
      </c>
      <c r="Q78" s="5">
        <f>IF(Q$14="Increase",IF(C78="y",0,IF($B78&gt;0,(I78*B$6*(B$7))*$B78*(1+Q$15),0)),IF(C78="y",0,IF($B78&gt;0,(I78*B$6*(B$7))*$B78*(1-Q$15),0)))</f>
        <v>0</v>
      </c>
      <c r="R78" s="5">
        <f>IF(R$14="Increase",IF(C78="y",0,IF($B78&gt;0,L78*$B78*(1+R$15),0)),IF(C78="y",0,IF($B78&gt;0,L78*$B78*(1-R$15),0)))</f>
        <v>0</v>
      </c>
      <c r="S78" s="5">
        <f>IF(S$14="Increase",IF(C78="y",0,IF($B78&gt;0,M78*$B78*(1+S$15),0)),IF(C78="y",0,IF($B78&gt;0,M78*$B78*(1-S$15),0)))</f>
        <v>0</v>
      </c>
      <c r="T78" s="5">
        <f>IF(T$14="Increase",IF(C78="y",F78*B78*(1+T$15),0),IF(C78="y",F78*B78*(1-T$15),0))</f>
        <v>0</v>
      </c>
    </row>
    <row r="79" spans="1:20" x14ac:dyDescent="0.25">
      <c r="A79" s="20" t="s">
        <v>93</v>
      </c>
      <c r="B79" s="35"/>
      <c r="C79" s="36"/>
      <c r="D79" s="48"/>
      <c r="E79" s="4"/>
      <c r="F79" s="4"/>
      <c r="G79" s="4"/>
      <c r="H79" s="4"/>
      <c r="I79" s="4"/>
      <c r="J79" s="4"/>
      <c r="K79" s="4"/>
      <c r="L79" s="4"/>
      <c r="M79" s="4"/>
      <c r="N79" s="4"/>
      <c r="O79" s="22">
        <f t="shared" ref="O79:T79" si="65">SUM(O19:O78)</f>
        <v>30.119416634216105</v>
      </c>
      <c r="P79" s="22">
        <f>SUM(P19:P78)+B14*(1-B7)*B4</f>
        <v>56.388680611997408</v>
      </c>
      <c r="Q79" s="22">
        <f>SUM(Q19:Q78)+B14*B7*B6</f>
        <v>0</v>
      </c>
      <c r="R79" s="22">
        <f t="shared" si="65"/>
        <v>37.874053767047521</v>
      </c>
      <c r="S79" s="22">
        <f>SUM(S19:S78)-(B14*(1-B7)*B4+B14*B7*B6)</f>
        <v>58.145806133096485</v>
      </c>
      <c r="T79" s="22">
        <f t="shared" si="65"/>
        <v>0</v>
      </c>
    </row>
    <row r="80" spans="1:20" s="11" customFormat="1" x14ac:dyDescent="0.25">
      <c r="A80" s="20" t="s">
        <v>142</v>
      </c>
      <c r="B80" s="35"/>
      <c r="C80" s="36"/>
      <c r="D80" s="48"/>
      <c r="E80" s="20"/>
      <c r="F80" s="20"/>
      <c r="G80" s="20"/>
      <c r="H80" s="20"/>
      <c r="I80" s="20"/>
      <c r="J80" s="20"/>
      <c r="K80" s="20"/>
      <c r="L80" s="20"/>
      <c r="M80" s="20"/>
      <c r="N80" s="20"/>
      <c r="O80" s="22">
        <f>O79 - (O79/$T81)*'No-Till Corn'!$I25</f>
        <v>30.119416634216105</v>
      </c>
      <c r="P80" s="22">
        <f>P79 - (P79/$T81)*'No-Till Corn'!$I25</f>
        <v>56.388680611997408</v>
      </c>
      <c r="Q80" s="22">
        <f>Q79 - (Q79/$T81)*'No-Till Corn'!$I25</f>
        <v>0</v>
      </c>
      <c r="R80" s="22">
        <f>R79 - (R79/$T81)*'No-Till Corn'!$I25</f>
        <v>37.874053767047521</v>
      </c>
      <c r="S80" s="22">
        <f>S79 - (S79/$T81)*'No-Till Corn'!$I25</f>
        <v>58.145806133096485</v>
      </c>
      <c r="T80" s="22">
        <f>'No-Till Corn'!I25</f>
        <v>0</v>
      </c>
    </row>
    <row r="81" spans="15:20" x14ac:dyDescent="0.25">
      <c r="T81" s="10">
        <f>SUM(O79:T79)</f>
        <v>182.52795714635749</v>
      </c>
    </row>
    <row r="82" spans="15:20" x14ac:dyDescent="0.25">
      <c r="T82" s="10">
        <f>SUM(O80:T80)</f>
        <v>182.52795714635749</v>
      </c>
    </row>
    <row r="83" spans="15:20" x14ac:dyDescent="0.25">
      <c r="T83" s="10"/>
    </row>
    <row r="84" spans="15:20" x14ac:dyDescent="0.25">
      <c r="T84" s="10"/>
    </row>
    <row r="87" spans="15:20" x14ac:dyDescent="0.25">
      <c r="O87" t="s">
        <v>89</v>
      </c>
    </row>
    <row r="88" spans="15:20" x14ac:dyDescent="0.25">
      <c r="O88" t="s">
        <v>90</v>
      </c>
    </row>
  </sheetData>
  <mergeCells count="18">
    <mergeCell ref="E13:N15"/>
    <mergeCell ref="A55:B55"/>
    <mergeCell ref="E12:T12"/>
    <mergeCell ref="O13:T13"/>
    <mergeCell ref="E8:T8"/>
    <mergeCell ref="E11:T11"/>
    <mergeCell ref="A10:D10"/>
    <mergeCell ref="A11:D11"/>
    <mergeCell ref="E9:T9"/>
    <mergeCell ref="E10:T10"/>
    <mergeCell ref="E5:T5"/>
    <mergeCell ref="E6:T6"/>
    <mergeCell ref="E7:T7"/>
    <mergeCell ref="A9:D9"/>
    <mergeCell ref="A1:T1"/>
    <mergeCell ref="E2:T2"/>
    <mergeCell ref="E3:T3"/>
    <mergeCell ref="E4:T4"/>
  </mergeCells>
  <phoneticPr fontId="0" type="noConversion"/>
  <dataValidations count="1">
    <dataValidation type="list" allowBlank="1" showInputMessage="1" showErrorMessage="1" sqref="O14:T14" xr:uid="{00000000-0002-0000-0500-000000000000}">
      <formula1>$O$87:$O$88</formula1>
    </dataValidation>
  </dataValidations>
  <pageMargins left="0.75" right="0.75" top="1" bottom="1" header="0.5" footer="0.5"/>
  <pageSetup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L56"/>
  <sheetViews>
    <sheetView showGridLines="0" workbookViewId="0">
      <selection activeCell="F5" sqref="F5"/>
    </sheetView>
  </sheetViews>
  <sheetFormatPr defaultRowHeight="13.2" x14ac:dyDescent="0.25"/>
  <cols>
    <col min="1" max="1" width="3" customWidth="1"/>
    <col min="2" max="2" width="4" customWidth="1"/>
    <col min="3" max="3" width="31" customWidth="1"/>
    <col min="4" max="4" width="7.33203125" customWidth="1"/>
    <col min="5" max="5" width="7.6640625" customWidth="1"/>
    <col min="6" max="6" width="7.88671875" customWidth="1"/>
    <col min="7" max="7" width="10" customWidth="1"/>
    <col min="8" max="8" width="5" customWidth="1"/>
    <col min="9" max="9" width="8.6640625" customWidth="1"/>
  </cols>
  <sheetData>
    <row r="1" spans="2:11" ht="15.6" x14ac:dyDescent="0.3">
      <c r="B1" s="151" t="s">
        <v>175</v>
      </c>
      <c r="C1" s="152"/>
      <c r="D1" s="152"/>
      <c r="E1" s="152"/>
      <c r="F1" s="152"/>
      <c r="G1" s="152"/>
      <c r="H1" s="152"/>
      <c r="I1" s="152"/>
      <c r="K1" t="s">
        <v>84</v>
      </c>
    </row>
    <row r="2" spans="2:11" ht="5.25" customHeight="1" x14ac:dyDescent="0.25">
      <c r="B2" s="4"/>
      <c r="C2" s="4"/>
      <c r="D2" s="4"/>
      <c r="E2" s="4"/>
      <c r="F2" s="4"/>
      <c r="G2" s="157"/>
      <c r="H2" s="125"/>
      <c r="I2" s="4"/>
    </row>
    <row r="3" spans="2:11" s="25" customFormat="1" ht="19.2" customHeight="1" x14ac:dyDescent="0.25">
      <c r="B3" s="27"/>
      <c r="C3" s="27"/>
      <c r="D3" s="3" t="s">
        <v>152</v>
      </c>
      <c r="E3" s="3" t="s">
        <v>60</v>
      </c>
      <c r="F3" s="3" t="s">
        <v>61</v>
      </c>
      <c r="G3" s="153"/>
      <c r="H3" s="154"/>
      <c r="I3" s="3" t="s">
        <v>5</v>
      </c>
    </row>
    <row r="4" spans="2:11" x14ac:dyDescent="0.25">
      <c r="B4" s="28" t="s">
        <v>62</v>
      </c>
      <c r="C4" s="28"/>
      <c r="D4" s="139"/>
      <c r="E4" s="140"/>
      <c r="F4" s="140"/>
      <c r="G4" s="140"/>
      <c r="H4" s="140"/>
      <c r="I4" s="141"/>
    </row>
    <row r="5" spans="2:11" x14ac:dyDescent="0.25">
      <c r="B5" s="4"/>
      <c r="C5" s="4" t="s">
        <v>38</v>
      </c>
      <c r="D5" s="70">
        <v>175</v>
      </c>
      <c r="E5" s="4" t="s">
        <v>63</v>
      </c>
      <c r="F5" s="72">
        <v>4.2</v>
      </c>
      <c r="G5" s="138"/>
      <c r="H5" s="138"/>
      <c r="I5" s="5">
        <f>D5*F5</f>
        <v>735</v>
      </c>
    </row>
    <row r="6" spans="2:11" x14ac:dyDescent="0.25">
      <c r="B6" s="4"/>
      <c r="C6" s="29" t="s">
        <v>203</v>
      </c>
      <c r="D6" s="4">
        <v>1</v>
      </c>
      <c r="E6" s="4" t="s">
        <v>69</v>
      </c>
      <c r="F6" s="72">
        <v>0</v>
      </c>
      <c r="G6" s="155"/>
      <c r="H6" s="156"/>
      <c r="I6" s="78">
        <f>D6*F6</f>
        <v>0</v>
      </c>
    </row>
    <row r="7" spans="2:11" x14ac:dyDescent="0.25">
      <c r="B7" s="4"/>
      <c r="C7" s="29" t="s">
        <v>202</v>
      </c>
      <c r="D7" s="4">
        <v>1</v>
      </c>
      <c r="E7" s="4" t="s">
        <v>69</v>
      </c>
      <c r="F7" s="72">
        <v>20</v>
      </c>
      <c r="G7" s="155"/>
      <c r="H7" s="156"/>
      <c r="I7" s="31">
        <f>D7*F7</f>
        <v>20</v>
      </c>
    </row>
    <row r="8" spans="2:11" x14ac:dyDescent="0.25">
      <c r="B8" s="28" t="s">
        <v>83</v>
      </c>
      <c r="C8" s="28"/>
      <c r="D8" s="4"/>
      <c r="E8" s="4"/>
      <c r="F8" s="16"/>
      <c r="G8" s="138"/>
      <c r="H8" s="138"/>
      <c r="I8" s="51">
        <f>SUM(I5:I7)</f>
        <v>755</v>
      </c>
    </row>
    <row r="9" spans="2:11" ht="4.5" customHeight="1" x14ac:dyDescent="0.25">
      <c r="B9" s="4"/>
      <c r="C9" s="4"/>
      <c r="D9" s="4"/>
      <c r="E9" s="4"/>
      <c r="F9" s="4"/>
      <c r="G9" s="138"/>
      <c r="H9" s="138"/>
      <c r="I9" s="4"/>
    </row>
    <row r="10" spans="2:11" x14ac:dyDescent="0.25">
      <c r="B10" s="28" t="s">
        <v>64</v>
      </c>
      <c r="C10" s="4"/>
      <c r="D10" s="139"/>
      <c r="E10" s="140"/>
      <c r="F10" s="140"/>
      <c r="G10" s="140"/>
      <c r="H10" s="140"/>
      <c r="I10" s="141"/>
    </row>
    <row r="11" spans="2:11" x14ac:dyDescent="0.25">
      <c r="B11" s="4"/>
      <c r="C11" s="4" t="s">
        <v>65</v>
      </c>
      <c r="D11" s="71">
        <v>0.38</v>
      </c>
      <c r="E11" s="4" t="s">
        <v>66</v>
      </c>
      <c r="F11" s="72">
        <v>265</v>
      </c>
      <c r="G11" s="138"/>
      <c r="H11" s="138"/>
      <c r="I11" s="5">
        <f t="shared" ref="I11:I19" si="0">D11*F11</f>
        <v>100.7</v>
      </c>
    </row>
    <row r="12" spans="2:11" ht="15.6" x14ac:dyDescent="0.25">
      <c r="B12" s="4"/>
      <c r="C12" s="4" t="s">
        <v>178</v>
      </c>
      <c r="D12" s="70">
        <v>165</v>
      </c>
      <c r="E12" s="4" t="s">
        <v>201</v>
      </c>
      <c r="F12" s="113">
        <v>0.6</v>
      </c>
      <c r="G12" s="138"/>
      <c r="H12" s="138"/>
      <c r="I12" s="5">
        <f t="shared" si="0"/>
        <v>99</v>
      </c>
    </row>
    <row r="13" spans="2:11" ht="15.6" x14ac:dyDescent="0.35">
      <c r="B13" s="4"/>
      <c r="C13" s="4" t="s">
        <v>121</v>
      </c>
      <c r="D13" s="70">
        <v>60</v>
      </c>
      <c r="E13" s="4" t="s">
        <v>201</v>
      </c>
      <c r="F13" s="113">
        <v>0.57999999999999996</v>
      </c>
      <c r="G13" s="138"/>
      <c r="H13" s="138"/>
      <c r="I13" s="5">
        <f t="shared" si="0"/>
        <v>34.799999999999997</v>
      </c>
    </row>
    <row r="14" spans="2:11" ht="15.6" x14ac:dyDescent="0.35">
      <c r="B14" s="4"/>
      <c r="C14" s="4" t="s">
        <v>122</v>
      </c>
      <c r="D14" s="70">
        <v>55</v>
      </c>
      <c r="E14" s="4" t="s">
        <v>201</v>
      </c>
      <c r="F14" s="113">
        <v>0.38</v>
      </c>
      <c r="G14" s="149"/>
      <c r="H14" s="150"/>
      <c r="I14" s="5">
        <f t="shared" si="0"/>
        <v>20.9</v>
      </c>
    </row>
    <row r="15" spans="2:11" x14ac:dyDescent="0.25">
      <c r="B15" s="4"/>
      <c r="C15" s="4" t="s">
        <v>107</v>
      </c>
      <c r="D15" s="70">
        <v>0</v>
      </c>
      <c r="E15" s="4" t="s">
        <v>201</v>
      </c>
      <c r="F15" s="72">
        <v>0</v>
      </c>
      <c r="G15" s="149"/>
      <c r="H15" s="150"/>
      <c r="I15" s="5">
        <f t="shared" si="0"/>
        <v>0</v>
      </c>
    </row>
    <row r="16" spans="2:11" x14ac:dyDescent="0.25">
      <c r="B16" s="4"/>
      <c r="C16" s="4" t="s">
        <v>97</v>
      </c>
      <c r="D16" s="77">
        <v>0.7</v>
      </c>
      <c r="E16" s="4" t="s">
        <v>67</v>
      </c>
      <c r="F16" s="72">
        <v>25</v>
      </c>
      <c r="G16" s="138"/>
      <c r="H16" s="138"/>
      <c r="I16" s="5">
        <f t="shared" si="0"/>
        <v>17.5</v>
      </c>
    </row>
    <row r="17" spans="2:11" x14ac:dyDescent="0.25">
      <c r="B17" s="4"/>
      <c r="C17" s="4" t="s">
        <v>68</v>
      </c>
      <c r="D17" s="4">
        <v>1</v>
      </c>
      <c r="E17" s="4" t="s">
        <v>69</v>
      </c>
      <c r="F17" s="72">
        <v>50</v>
      </c>
      <c r="G17" s="138"/>
      <c r="H17" s="138"/>
      <c r="I17" s="5">
        <f t="shared" si="0"/>
        <v>50</v>
      </c>
    </row>
    <row r="18" spans="2:11" ht="15.6" x14ac:dyDescent="0.25">
      <c r="B18" s="4"/>
      <c r="C18" s="4" t="s">
        <v>184</v>
      </c>
      <c r="D18" s="4">
        <v>1</v>
      </c>
      <c r="E18" s="4" t="s">
        <v>69</v>
      </c>
      <c r="F18" s="72">
        <v>0</v>
      </c>
      <c r="G18" s="138"/>
      <c r="H18" s="138"/>
      <c r="I18" s="5">
        <f t="shared" si="0"/>
        <v>0</v>
      </c>
    </row>
    <row r="19" spans="2:11" ht="15.6" x14ac:dyDescent="0.25">
      <c r="B19" s="4"/>
      <c r="C19" s="29" t="s">
        <v>185</v>
      </c>
      <c r="D19" s="4">
        <v>1</v>
      </c>
      <c r="E19" s="4" t="s">
        <v>69</v>
      </c>
      <c r="F19" s="72">
        <v>0</v>
      </c>
      <c r="G19" s="143"/>
      <c r="H19" s="143"/>
      <c r="I19" s="5">
        <f t="shared" si="0"/>
        <v>0</v>
      </c>
    </row>
    <row r="20" spans="2:11" ht="13.2" customHeight="1" x14ac:dyDescent="0.25">
      <c r="B20" s="4"/>
      <c r="C20" s="32" t="s">
        <v>96</v>
      </c>
      <c r="D20" s="32">
        <v>1</v>
      </c>
      <c r="E20" s="32" t="s">
        <v>69</v>
      </c>
      <c r="F20" s="73">
        <v>0</v>
      </c>
      <c r="G20" s="144" t="s">
        <v>141</v>
      </c>
      <c r="H20" s="146" t="s">
        <v>59</v>
      </c>
      <c r="I20" s="39">
        <f>IF(H20="Y",'Machinery (Tillage Corn)'!O80,F20)</f>
        <v>35.818231751403609</v>
      </c>
      <c r="K20" t="s">
        <v>84</v>
      </c>
    </row>
    <row r="21" spans="2:11" x14ac:dyDescent="0.25">
      <c r="B21" s="4"/>
      <c r="C21" s="32" t="s">
        <v>8</v>
      </c>
      <c r="D21" s="32">
        <v>1</v>
      </c>
      <c r="E21" s="32" t="s">
        <v>69</v>
      </c>
      <c r="F21" s="73">
        <v>0</v>
      </c>
      <c r="G21" s="145"/>
      <c r="H21" s="147"/>
      <c r="I21" s="39">
        <f>IF(H20="Y",('Machinery (Tillage Corn)'!R80-(I24*'Machinery (Tillage Corn)'!B12)),F21)</f>
        <v>49.171385255004779</v>
      </c>
    </row>
    <row r="22" spans="2:11" x14ac:dyDescent="0.25">
      <c r="B22" s="4"/>
      <c r="C22" s="32" t="s">
        <v>80</v>
      </c>
      <c r="D22" s="32">
        <v>1</v>
      </c>
      <c r="E22" s="32" t="s">
        <v>69</v>
      </c>
      <c r="F22" s="73">
        <v>0</v>
      </c>
      <c r="G22" s="145"/>
      <c r="H22" s="147"/>
      <c r="I22" s="39">
        <f>IF(H20="Y",'Machinery (Tillage Corn)'!Q80,F22)</f>
        <v>0</v>
      </c>
    </row>
    <row r="23" spans="2:11" x14ac:dyDescent="0.25">
      <c r="B23" s="4"/>
      <c r="C23" s="32" t="s">
        <v>123</v>
      </c>
      <c r="D23" s="32">
        <v>1</v>
      </c>
      <c r="E23" s="32" t="s">
        <v>69</v>
      </c>
      <c r="F23" s="73">
        <v>0</v>
      </c>
      <c r="G23" s="145"/>
      <c r="H23" s="147"/>
      <c r="I23" s="39">
        <f>IF(H20="Y",(IF('Machinery (Tillage Corn)'!B5="y",'Machinery (Tillage Corn)'!P80,0)),F23)</f>
        <v>62.676049088428385</v>
      </c>
      <c r="J23" s="2"/>
    </row>
    <row r="24" spans="2:11" x14ac:dyDescent="0.25">
      <c r="B24" s="4"/>
      <c r="C24" s="4" t="s">
        <v>86</v>
      </c>
      <c r="D24" s="4">
        <v>1</v>
      </c>
      <c r="E24" s="4" t="s">
        <v>69</v>
      </c>
      <c r="F24" s="72">
        <v>0</v>
      </c>
      <c r="G24" s="148"/>
      <c r="H24" s="148"/>
      <c r="I24" s="5">
        <f>D24*F24</f>
        <v>0</v>
      </c>
      <c r="J24" t="s">
        <v>84</v>
      </c>
    </row>
    <row r="25" spans="2:11" x14ac:dyDescent="0.25">
      <c r="B25" s="4"/>
      <c r="C25" s="4" t="s">
        <v>140</v>
      </c>
      <c r="D25" s="4">
        <v>1</v>
      </c>
      <c r="E25" s="4" t="s">
        <v>69</v>
      </c>
      <c r="F25" s="72">
        <v>0</v>
      </c>
      <c r="G25" s="148"/>
      <c r="H25" s="148"/>
      <c r="I25" s="5">
        <f>D25*F25</f>
        <v>0</v>
      </c>
      <c r="J25" t="s">
        <v>84</v>
      </c>
    </row>
    <row r="26" spans="2:11" x14ac:dyDescent="0.25">
      <c r="B26" s="4"/>
      <c r="C26" s="4" t="s">
        <v>192</v>
      </c>
      <c r="D26" s="4">
        <v>1</v>
      </c>
      <c r="E26" s="4" t="s">
        <v>95</v>
      </c>
      <c r="F26" s="72">
        <v>2</v>
      </c>
      <c r="G26" s="30" t="s">
        <v>133</v>
      </c>
      <c r="H26" s="75">
        <v>3</v>
      </c>
      <c r="I26" s="5">
        <f>(F26/54.5+0.005)*D5*H26</f>
        <v>21.89105504587156</v>
      </c>
      <c r="J26" s="2"/>
      <c r="K26" s="2"/>
    </row>
    <row r="27" spans="2:11" ht="15.6" x14ac:dyDescent="0.25">
      <c r="B27" s="4"/>
      <c r="C27" s="4" t="s">
        <v>188</v>
      </c>
      <c r="D27" s="4">
        <v>1</v>
      </c>
      <c r="E27" s="4" t="s">
        <v>69</v>
      </c>
      <c r="F27" s="72">
        <v>25</v>
      </c>
      <c r="G27" s="148"/>
      <c r="H27" s="148"/>
      <c r="I27" s="5">
        <f>D27*F27</f>
        <v>25</v>
      </c>
    </row>
    <row r="28" spans="2:11" ht="15.6" x14ac:dyDescent="0.25">
      <c r="B28" s="4"/>
      <c r="C28" s="4" t="s">
        <v>189</v>
      </c>
      <c r="D28" s="4">
        <v>1</v>
      </c>
      <c r="E28" s="4" t="s">
        <v>69</v>
      </c>
      <c r="F28" s="72">
        <v>175</v>
      </c>
      <c r="G28" s="148"/>
      <c r="H28" s="148"/>
      <c r="I28" s="5">
        <f>D28*F28</f>
        <v>175</v>
      </c>
    </row>
    <row r="29" spans="2:11" x14ac:dyDescent="0.25">
      <c r="B29" s="4"/>
      <c r="C29" s="4" t="s">
        <v>194</v>
      </c>
      <c r="D29" s="4">
        <v>1</v>
      </c>
      <c r="E29" s="4" t="s">
        <v>69</v>
      </c>
      <c r="F29" s="72">
        <v>20</v>
      </c>
      <c r="G29" s="142"/>
      <c r="H29" s="142"/>
      <c r="I29" s="5">
        <f>D29*F29</f>
        <v>20</v>
      </c>
    </row>
    <row r="30" spans="2:11" x14ac:dyDescent="0.25">
      <c r="B30" s="4"/>
      <c r="C30" s="4" t="s">
        <v>70</v>
      </c>
      <c r="D30" s="58">
        <f>SUM(I10:I29)-I26-(SUM('Machinery (Tillage Corn)'!O48:O55,'Machinery (Tillage Corn)'!P48:P55,'Machinery (Tillage Corn)'!Q48:Q55,'Machinery (Tillage Corn)'!R48:R55,'Machinery (Tillage Corn)'!T48:T55))</f>
        <v>612.77497660529457</v>
      </c>
      <c r="E30" s="4" t="s">
        <v>71</v>
      </c>
      <c r="F30" s="74">
        <v>0.08</v>
      </c>
      <c r="G30" s="30" t="s">
        <v>91</v>
      </c>
      <c r="H30" s="76">
        <v>7</v>
      </c>
      <c r="I30" s="31">
        <f>D30*F30*(H30/12)</f>
        <v>28.596165574913751</v>
      </c>
    </row>
    <row r="31" spans="2:11" x14ac:dyDescent="0.25">
      <c r="B31" s="28" t="s">
        <v>72</v>
      </c>
      <c r="C31" s="4"/>
      <c r="D31" s="4"/>
      <c r="E31" s="4"/>
      <c r="F31" s="4"/>
      <c r="G31" s="138"/>
      <c r="H31" s="138"/>
      <c r="I31" s="51">
        <f>SUM(I11:I30)</f>
        <v>741.05288671562209</v>
      </c>
    </row>
    <row r="32" spans="2:11" ht="7.5" customHeight="1" x14ac:dyDescent="0.25">
      <c r="B32" s="4"/>
      <c r="C32" s="4"/>
      <c r="D32" s="4"/>
      <c r="E32" s="4"/>
      <c r="F32" s="4"/>
      <c r="G32" s="138"/>
      <c r="H32" s="138"/>
      <c r="I32" s="4"/>
    </row>
    <row r="33" spans="2:12" ht="15.6" x14ac:dyDescent="0.3">
      <c r="B33" s="139" t="s">
        <v>73</v>
      </c>
      <c r="C33" s="140"/>
      <c r="D33" s="140"/>
      <c r="E33" s="140"/>
      <c r="F33" s="140"/>
      <c r="G33" s="140"/>
      <c r="H33" s="141"/>
      <c r="I33" s="115">
        <f>I8-I31</f>
        <v>13.947113284377906</v>
      </c>
    </row>
    <row r="34" spans="2:12" ht="7.5" customHeight="1" x14ac:dyDescent="0.25">
      <c r="B34" s="4"/>
      <c r="C34" s="4"/>
      <c r="D34" s="4"/>
      <c r="E34" s="4"/>
      <c r="F34" s="4"/>
      <c r="G34" s="138"/>
      <c r="H34" s="138"/>
      <c r="I34" s="4"/>
    </row>
    <row r="35" spans="2:12" x14ac:dyDescent="0.25">
      <c r="B35" s="28" t="s">
        <v>74</v>
      </c>
      <c r="C35" s="4"/>
      <c r="D35" s="139"/>
      <c r="E35" s="140"/>
      <c r="F35" s="140"/>
      <c r="G35" s="140"/>
      <c r="H35" s="140"/>
      <c r="I35" s="141"/>
      <c r="L35" t="s">
        <v>84</v>
      </c>
    </row>
    <row r="36" spans="2:12" x14ac:dyDescent="0.25">
      <c r="B36" s="4"/>
      <c r="C36" s="32" t="s">
        <v>124</v>
      </c>
      <c r="D36" s="32"/>
      <c r="E36" s="32"/>
      <c r="F36" s="73">
        <v>0</v>
      </c>
      <c r="G36" s="134" t="s">
        <v>101</v>
      </c>
      <c r="H36" s="135"/>
      <c r="I36" s="39">
        <f>IF(H20="Y",IF('Machinery (Tillage Corn)'!B5="y",0,'Machinery (Tillage Corn)'!P80),F36)</f>
        <v>0</v>
      </c>
    </row>
    <row r="37" spans="2:12" ht="15" customHeight="1" x14ac:dyDescent="0.25">
      <c r="B37" s="4"/>
      <c r="C37" s="32" t="s">
        <v>81</v>
      </c>
      <c r="D37" s="32"/>
      <c r="E37" s="32"/>
      <c r="F37" s="73">
        <v>0</v>
      </c>
      <c r="G37" s="136"/>
      <c r="H37" s="137"/>
      <c r="I37" s="39">
        <f>IF(H20="Y",'Machinery (Tillage Corn)'!S80-(I24*(1-'Machinery (Tillage Corn)'!B12)),F37)</f>
        <v>81.082812487433941</v>
      </c>
    </row>
    <row r="38" spans="2:12" x14ac:dyDescent="0.25">
      <c r="B38" s="4"/>
      <c r="C38" s="4" t="s">
        <v>85</v>
      </c>
      <c r="D38" s="4">
        <v>1</v>
      </c>
      <c r="E38" s="4" t="s">
        <v>69</v>
      </c>
      <c r="F38" s="72">
        <v>10</v>
      </c>
      <c r="G38" s="138"/>
      <c r="H38" s="138"/>
      <c r="I38" s="5">
        <f>D38*F38</f>
        <v>10</v>
      </c>
    </row>
    <row r="39" spans="2:12" x14ac:dyDescent="0.25">
      <c r="B39" s="4"/>
      <c r="C39" s="4" t="s">
        <v>193</v>
      </c>
      <c r="D39" s="4">
        <v>1</v>
      </c>
      <c r="E39" s="4" t="s">
        <v>69</v>
      </c>
      <c r="F39" s="72">
        <v>15</v>
      </c>
      <c r="G39" s="138"/>
      <c r="H39" s="138"/>
      <c r="I39" s="31">
        <f>D39*F39</f>
        <v>15</v>
      </c>
    </row>
    <row r="40" spans="2:12" ht="15.6" x14ac:dyDescent="0.3">
      <c r="B40" s="139" t="s">
        <v>75</v>
      </c>
      <c r="C40" s="140"/>
      <c r="D40" s="140"/>
      <c r="E40" s="140"/>
      <c r="F40" s="140"/>
      <c r="G40" s="140"/>
      <c r="H40" s="141"/>
      <c r="I40" s="115">
        <f>I33-(SUM(I36:I39))</f>
        <v>-92.135699203056035</v>
      </c>
      <c r="J40" t="s">
        <v>84</v>
      </c>
    </row>
    <row r="41" spans="2:12" x14ac:dyDescent="0.25">
      <c r="B41" s="4"/>
      <c r="C41" s="4"/>
      <c r="D41" s="4"/>
      <c r="E41" s="4"/>
      <c r="F41" s="4"/>
      <c r="G41" s="138"/>
      <c r="H41" s="138"/>
      <c r="I41" s="4"/>
    </row>
    <row r="42" spans="2:12" ht="15.6" x14ac:dyDescent="0.3">
      <c r="B42" s="161" t="str">
        <f>"Breakeven Yield at $" &amp; ROUND(F5,2) &amp;" /bushel"</f>
        <v>Breakeven Yield at $4.2 /bushel</v>
      </c>
      <c r="C42" s="162"/>
      <c r="D42" s="116">
        <f>I31/F5</f>
        <v>176.44116350371954</v>
      </c>
      <c r="E42" s="158" t="s">
        <v>76</v>
      </c>
      <c r="F42" s="159"/>
      <c r="G42" s="159"/>
      <c r="H42" s="159"/>
      <c r="I42" s="160"/>
      <c r="J42" s="23"/>
      <c r="K42" s="23"/>
    </row>
    <row r="43" spans="2:12" ht="15.6" x14ac:dyDescent="0.3">
      <c r="B43" s="161" t="str">
        <f>"Breakeven Cost at " &amp; ROUND(D5,0) &amp;" bu/acre"</f>
        <v>Breakeven Cost at 175 bu/acre</v>
      </c>
      <c r="C43" s="162"/>
      <c r="D43" s="117">
        <f>I31/D5</f>
        <v>4.2345879240892694</v>
      </c>
      <c r="E43" s="158" t="s">
        <v>153</v>
      </c>
      <c r="F43" s="159"/>
      <c r="G43" s="159"/>
      <c r="H43" s="159"/>
      <c r="I43" s="160"/>
      <c r="J43" s="23"/>
      <c r="K43" s="23"/>
    </row>
    <row r="44" spans="2:12" ht="15.6" x14ac:dyDescent="0.3">
      <c r="B44" s="161" t="str">
        <f>"Breakeven Cost at " &amp; ROUND(D5,0) &amp;" bu/acre"</f>
        <v>Breakeven Cost at 175 bu/acre</v>
      </c>
      <c r="C44" s="162"/>
      <c r="D44" s="117">
        <f>(I31+SUM(I36:I39))/D5</f>
        <v>4.8407754240174627</v>
      </c>
      <c r="E44" s="158" t="s">
        <v>154</v>
      </c>
      <c r="F44" s="159"/>
      <c r="G44" s="159"/>
      <c r="H44" s="159"/>
      <c r="I44" s="160"/>
    </row>
    <row r="45" spans="2:12" x14ac:dyDescent="0.25">
      <c r="B45" s="131"/>
      <c r="C45" s="131"/>
      <c r="D45" s="131"/>
      <c r="E45" s="131"/>
      <c r="F45" s="131"/>
      <c r="G45" s="131"/>
      <c r="H45" s="131"/>
      <c r="I45" s="131"/>
    </row>
    <row r="46" spans="2:12" x14ac:dyDescent="0.25">
      <c r="B46" s="133" t="s">
        <v>177</v>
      </c>
      <c r="C46" s="133"/>
      <c r="D46" s="133"/>
      <c r="E46" s="133"/>
      <c r="F46" s="133"/>
      <c r="G46" s="133"/>
      <c r="H46" s="133"/>
      <c r="I46" s="133"/>
    </row>
    <row r="47" spans="2:12" x14ac:dyDescent="0.25">
      <c r="B47" s="132" t="s">
        <v>179</v>
      </c>
      <c r="C47" s="131"/>
      <c r="D47" s="131"/>
      <c r="E47" s="131"/>
      <c r="F47" s="131"/>
      <c r="G47" s="131"/>
      <c r="H47" s="131"/>
      <c r="I47" s="131"/>
    </row>
    <row r="48" spans="2:12" ht="13.2" customHeight="1" x14ac:dyDescent="0.25">
      <c r="B48" s="132" t="s">
        <v>186</v>
      </c>
      <c r="C48" s="131"/>
      <c r="D48" s="131"/>
      <c r="E48" s="131"/>
      <c r="F48" s="131"/>
      <c r="G48" s="131"/>
      <c r="H48" s="131"/>
      <c r="I48" s="131"/>
    </row>
    <row r="49" spans="2:9" x14ac:dyDescent="0.25">
      <c r="B49" s="132" t="s">
        <v>191</v>
      </c>
      <c r="C49" s="131"/>
      <c r="D49" s="131"/>
      <c r="E49" s="131"/>
      <c r="F49" s="131"/>
      <c r="G49" s="131"/>
      <c r="H49" s="131"/>
      <c r="I49" s="131"/>
    </row>
    <row r="50" spans="2:9" x14ac:dyDescent="0.25">
      <c r="B50" s="132" t="s">
        <v>187</v>
      </c>
      <c r="C50" s="131"/>
      <c r="D50" s="131"/>
      <c r="E50" s="131"/>
      <c r="F50" s="131"/>
      <c r="G50" s="131"/>
      <c r="H50" s="131"/>
      <c r="I50" s="131"/>
    </row>
    <row r="51" spans="2:9" x14ac:dyDescent="0.25">
      <c r="B51" s="131"/>
      <c r="C51" s="131"/>
      <c r="D51" s="131"/>
      <c r="E51" s="131"/>
      <c r="F51" s="131"/>
      <c r="G51" s="131"/>
      <c r="H51" s="131"/>
      <c r="I51" s="131"/>
    </row>
    <row r="53" spans="2:9" hidden="1" x14ac:dyDescent="0.25">
      <c r="F53">
        <v>5</v>
      </c>
      <c r="G53" t="s">
        <v>100</v>
      </c>
    </row>
    <row r="54" spans="2:9" hidden="1" x14ac:dyDescent="0.25">
      <c r="F54">
        <v>6</v>
      </c>
      <c r="G54" t="s">
        <v>59</v>
      </c>
    </row>
    <row r="55" spans="2:9" hidden="1" x14ac:dyDescent="0.25">
      <c r="F55">
        <v>7</v>
      </c>
    </row>
    <row r="56" spans="2:9" hidden="1" x14ac:dyDescent="0.25">
      <c r="F56">
        <v>8</v>
      </c>
    </row>
  </sheetData>
  <sheetProtection algorithmName="SHA-512" hashValue="LpY4mPHS3opwTfr/5YTNOoRhFbdhbuQAcJlv2hLam+AI8dcMipqmxQY9/5bjDg4e+fpEPfH9UFmzHxxRM6FsQw==" saltValue="VuHUiOGC4u0WNXOzu+es+A==" spinCount="100000" sheet="1" formatCells="0" formatColumns="0" formatRows="0"/>
  <mergeCells count="49">
    <mergeCell ref="D35:I35"/>
    <mergeCell ref="B40:H40"/>
    <mergeCell ref="B44:C44"/>
    <mergeCell ref="E44:I44"/>
    <mergeCell ref="G2:H2"/>
    <mergeCell ref="G36:H37"/>
    <mergeCell ref="G39:H39"/>
    <mergeCell ref="B43:C43"/>
    <mergeCell ref="E43:I43"/>
    <mergeCell ref="G28:H28"/>
    <mergeCell ref="G25:H25"/>
    <mergeCell ref="H20:H23"/>
    <mergeCell ref="G6:H6"/>
    <mergeCell ref="G8:H8"/>
    <mergeCell ref="G12:H12"/>
    <mergeCell ref="G24:H24"/>
    <mergeCell ref="G27:H27"/>
    <mergeCell ref="G14:H14"/>
    <mergeCell ref="G16:H16"/>
    <mergeCell ref="G17:H17"/>
    <mergeCell ref="G18:H18"/>
    <mergeCell ref="G19:H19"/>
    <mergeCell ref="G15:H15"/>
    <mergeCell ref="B1:I1"/>
    <mergeCell ref="G3:H3"/>
    <mergeCell ref="G5:H5"/>
    <mergeCell ref="G7:H7"/>
    <mergeCell ref="D4:I4"/>
    <mergeCell ref="G9:H9"/>
    <mergeCell ref="B45:I45"/>
    <mergeCell ref="B48:I48"/>
    <mergeCell ref="G20:G23"/>
    <mergeCell ref="G13:H13"/>
    <mergeCell ref="D10:I10"/>
    <mergeCell ref="B33:H33"/>
    <mergeCell ref="G11:H11"/>
    <mergeCell ref="B42:C42"/>
    <mergeCell ref="E42:I42"/>
    <mergeCell ref="G29:H29"/>
    <mergeCell ref="G31:H31"/>
    <mergeCell ref="G32:H32"/>
    <mergeCell ref="G41:H41"/>
    <mergeCell ref="G34:H34"/>
    <mergeCell ref="G38:H38"/>
    <mergeCell ref="B51:I51"/>
    <mergeCell ref="B46:I46"/>
    <mergeCell ref="B47:I47"/>
    <mergeCell ref="B49:I49"/>
    <mergeCell ref="B50:I50"/>
  </mergeCells>
  <phoneticPr fontId="6" type="noConversion"/>
  <dataValidations count="2">
    <dataValidation type="list" allowBlank="1" showInputMessage="1" showErrorMessage="1" sqref="H30" xr:uid="{00000000-0002-0000-0600-000000000000}">
      <formula1>$F$53:$F$56</formula1>
    </dataValidation>
    <dataValidation type="list" allowBlank="1" showInputMessage="1" showErrorMessage="1" sqref="H20:H23" xr:uid="{00000000-0002-0000-0600-000001000000}">
      <formula1>$G$53:$G$54</formula1>
    </dataValidation>
  </dataValidations>
  <pageMargins left="0.75" right="0.75" top="1" bottom="1" header="0.5" footer="0.5"/>
  <pageSetup scale="81" orientation="portrait" r:id="rId1"/>
  <headerFooter alignWithMargins="0"/>
  <ignoredErrors>
    <ignoredError sqref="I26"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88"/>
  <sheetViews>
    <sheetView workbookViewId="0">
      <pane ySplit="16" topLeftCell="A56" activePane="bottomLeft" state="frozen"/>
      <selection activeCell="I38" sqref="I38"/>
      <selection pane="bottomLeft" activeCell="B64" sqref="B64"/>
    </sheetView>
  </sheetViews>
  <sheetFormatPr defaultRowHeight="13.2" x14ac:dyDescent="0.25"/>
  <cols>
    <col min="1" max="1" width="32.44140625" customWidth="1"/>
    <col min="4" max="4" width="9.6640625" customWidth="1"/>
    <col min="5" max="5" width="8.5546875" customWidth="1"/>
    <col min="6" max="6" width="7.88671875" customWidth="1"/>
    <col min="7" max="7" width="9" customWidth="1"/>
    <col min="8" max="8" width="7.5546875" customWidth="1"/>
    <col min="9" max="10" width="7.109375" customWidth="1"/>
    <col min="11" max="11" width="0" hidden="1" customWidth="1"/>
    <col min="12" max="12" width="8.44140625" hidden="1" customWidth="1"/>
    <col min="13" max="13" width="8.6640625" hidden="1" customWidth="1"/>
    <col min="14" max="14" width="4.6640625" customWidth="1"/>
    <col min="15" max="15" width="8.5546875" customWidth="1"/>
    <col min="16" max="16" width="8.109375" customWidth="1"/>
    <col min="17" max="17" width="8.6640625" customWidth="1"/>
    <col min="18" max="18" width="8.44140625" customWidth="1"/>
    <col min="19" max="19" width="8.5546875" customWidth="1"/>
    <col min="20" max="20" width="8.44140625" customWidth="1"/>
  </cols>
  <sheetData>
    <row r="1" spans="1:20" ht="17.399999999999999" x14ac:dyDescent="0.3">
      <c r="A1" s="166" t="s">
        <v>130</v>
      </c>
      <c r="B1" s="167"/>
      <c r="C1" s="167"/>
      <c r="D1" s="167"/>
      <c r="E1" s="167"/>
      <c r="F1" s="167"/>
      <c r="G1" s="167"/>
      <c r="H1" s="167"/>
      <c r="I1" s="167"/>
      <c r="J1" s="167"/>
      <c r="K1" s="167"/>
      <c r="L1" s="167"/>
      <c r="M1" s="167"/>
      <c r="N1" s="167"/>
      <c r="O1" s="167"/>
      <c r="P1" s="167"/>
      <c r="Q1" s="167"/>
      <c r="R1" s="167"/>
      <c r="S1" s="167"/>
      <c r="T1" s="168"/>
    </row>
    <row r="2" spans="1:20" x14ac:dyDescent="0.25">
      <c r="A2" s="4" t="s">
        <v>198</v>
      </c>
      <c r="B2" s="30">
        <f>'Machinery (Corn No-Till)'!B2</f>
        <v>4</v>
      </c>
      <c r="C2" s="4"/>
      <c r="D2" s="49"/>
      <c r="E2" s="169" t="s">
        <v>120</v>
      </c>
      <c r="F2" s="164"/>
      <c r="G2" s="164"/>
      <c r="H2" s="164"/>
      <c r="I2" s="164"/>
      <c r="J2" s="164"/>
      <c r="K2" s="164"/>
      <c r="L2" s="164"/>
      <c r="M2" s="164"/>
      <c r="N2" s="164"/>
      <c r="O2" s="164"/>
      <c r="P2" s="164"/>
      <c r="Q2" s="164"/>
      <c r="R2" s="164"/>
      <c r="S2" s="164"/>
      <c r="T2" s="125"/>
    </row>
    <row r="3" spans="1:20" x14ac:dyDescent="0.25">
      <c r="A3" s="4" t="s">
        <v>57</v>
      </c>
      <c r="B3" s="30">
        <f>'Machinery Calculations'!C6</f>
        <v>2.75</v>
      </c>
      <c r="C3" s="16"/>
      <c r="D3" s="42"/>
      <c r="E3" s="163" t="s">
        <v>108</v>
      </c>
      <c r="F3" s="164"/>
      <c r="G3" s="164"/>
      <c r="H3" s="164"/>
      <c r="I3" s="164"/>
      <c r="J3" s="164"/>
      <c r="K3" s="164"/>
      <c r="L3" s="164"/>
      <c r="M3" s="164"/>
      <c r="N3" s="164"/>
      <c r="O3" s="164"/>
      <c r="P3" s="164"/>
      <c r="Q3" s="164"/>
      <c r="R3" s="164"/>
      <c r="S3" s="164"/>
      <c r="T3" s="125"/>
    </row>
    <row r="4" spans="1:20" x14ac:dyDescent="0.25">
      <c r="A4" s="4" t="s">
        <v>77</v>
      </c>
      <c r="B4" s="30">
        <f>'Machinery Calculations'!C7</f>
        <v>25</v>
      </c>
      <c r="C4" s="16"/>
      <c r="D4" s="42"/>
      <c r="E4" s="163" t="s">
        <v>110</v>
      </c>
      <c r="F4" s="164"/>
      <c r="G4" s="164"/>
      <c r="H4" s="164"/>
      <c r="I4" s="164"/>
      <c r="J4" s="164"/>
      <c r="K4" s="164"/>
      <c r="L4" s="164"/>
      <c r="M4" s="164"/>
      <c r="N4" s="164"/>
      <c r="O4" s="164"/>
      <c r="P4" s="164"/>
      <c r="Q4" s="164"/>
      <c r="R4" s="164"/>
      <c r="S4" s="164"/>
      <c r="T4" s="125"/>
    </row>
    <row r="5" spans="1:20" x14ac:dyDescent="0.25">
      <c r="A5" s="4" t="s">
        <v>125</v>
      </c>
      <c r="B5" s="30" t="str">
        <f>'Machinery Calculations'!C8</f>
        <v>Y</v>
      </c>
      <c r="C5" s="16"/>
      <c r="D5" s="42"/>
      <c r="E5" s="163" t="s">
        <v>116</v>
      </c>
      <c r="F5" s="164"/>
      <c r="G5" s="164"/>
      <c r="H5" s="164"/>
      <c r="I5" s="164"/>
      <c r="J5" s="164"/>
      <c r="K5" s="164"/>
      <c r="L5" s="164"/>
      <c r="M5" s="164"/>
      <c r="N5" s="164"/>
      <c r="O5" s="164"/>
      <c r="P5" s="164"/>
      <c r="Q5" s="164"/>
      <c r="R5" s="164"/>
      <c r="S5" s="164"/>
      <c r="T5" s="125"/>
    </row>
    <row r="6" spans="1:20" x14ac:dyDescent="0.25">
      <c r="A6" s="4" t="s">
        <v>78</v>
      </c>
      <c r="B6" s="30">
        <f>'Machinery Calculations'!C9</f>
        <v>25</v>
      </c>
      <c r="C6" s="16"/>
      <c r="D6" s="42"/>
      <c r="E6" s="163" t="s">
        <v>109</v>
      </c>
      <c r="F6" s="164"/>
      <c r="G6" s="164"/>
      <c r="H6" s="164"/>
      <c r="I6" s="164"/>
      <c r="J6" s="164"/>
      <c r="K6" s="164"/>
      <c r="L6" s="164"/>
      <c r="M6" s="164"/>
      <c r="N6" s="164"/>
      <c r="O6" s="164"/>
      <c r="P6" s="164"/>
      <c r="Q6" s="164"/>
      <c r="R6" s="164"/>
      <c r="S6" s="164"/>
      <c r="T6" s="125"/>
    </row>
    <row r="7" spans="1:20" x14ac:dyDescent="0.25">
      <c r="A7" s="4" t="s">
        <v>79</v>
      </c>
      <c r="B7" s="52">
        <f>'Machinery Calculations'!C10</f>
        <v>0</v>
      </c>
      <c r="C7" s="16"/>
      <c r="D7" s="42"/>
      <c r="E7" s="163" t="s">
        <v>117</v>
      </c>
      <c r="F7" s="164"/>
      <c r="G7" s="164"/>
      <c r="H7" s="164"/>
      <c r="I7" s="164"/>
      <c r="J7" s="164"/>
      <c r="K7" s="164"/>
      <c r="L7" s="164"/>
      <c r="M7" s="164"/>
      <c r="N7" s="164"/>
      <c r="O7" s="164"/>
      <c r="P7" s="164"/>
      <c r="Q7" s="164"/>
      <c r="R7" s="164"/>
      <c r="S7" s="164"/>
      <c r="T7" s="125"/>
    </row>
    <row r="8" spans="1:20" x14ac:dyDescent="0.25">
      <c r="A8" s="4" t="s">
        <v>113</v>
      </c>
      <c r="B8" s="53">
        <f>'Machinery Calculations'!C11</f>
        <v>75</v>
      </c>
      <c r="C8" s="16"/>
      <c r="D8" s="42"/>
      <c r="E8" s="163" t="s">
        <v>129</v>
      </c>
      <c r="F8" s="164"/>
      <c r="G8" s="164"/>
      <c r="H8" s="164"/>
      <c r="I8" s="164"/>
      <c r="J8" s="164"/>
      <c r="K8" s="164"/>
      <c r="L8" s="164"/>
      <c r="M8" s="164"/>
      <c r="N8" s="164"/>
      <c r="O8" s="164"/>
      <c r="P8" s="164"/>
      <c r="Q8" s="164"/>
      <c r="R8" s="164"/>
      <c r="S8" s="164"/>
      <c r="T8" s="125"/>
    </row>
    <row r="9" spans="1:20" hidden="1" x14ac:dyDescent="0.25">
      <c r="A9" s="165" t="s">
        <v>114</v>
      </c>
      <c r="B9" s="164"/>
      <c r="C9" s="164"/>
      <c r="D9" s="125"/>
      <c r="E9" s="163" t="s">
        <v>118</v>
      </c>
      <c r="F9" s="164"/>
      <c r="G9" s="164"/>
      <c r="H9" s="164"/>
      <c r="I9" s="164"/>
      <c r="J9" s="164"/>
      <c r="K9" s="164"/>
      <c r="L9" s="164"/>
      <c r="M9" s="164"/>
      <c r="N9" s="164"/>
      <c r="O9" s="164"/>
      <c r="P9" s="164"/>
      <c r="Q9" s="164"/>
      <c r="R9" s="164"/>
      <c r="S9" s="164"/>
      <c r="T9" s="125"/>
    </row>
    <row r="10" spans="1:20" hidden="1" x14ac:dyDescent="0.25">
      <c r="A10" s="165" t="s">
        <v>115</v>
      </c>
      <c r="B10" s="164"/>
      <c r="C10" s="164"/>
      <c r="D10" s="125"/>
      <c r="E10" s="163" t="s">
        <v>131</v>
      </c>
      <c r="F10" s="164"/>
      <c r="G10" s="164"/>
      <c r="H10" s="164"/>
      <c r="I10" s="164"/>
      <c r="J10" s="164"/>
      <c r="K10" s="164"/>
      <c r="L10" s="164"/>
      <c r="M10" s="164"/>
      <c r="N10" s="164"/>
      <c r="O10" s="164"/>
      <c r="P10" s="164"/>
      <c r="Q10" s="164"/>
      <c r="R10" s="164"/>
      <c r="S10" s="164"/>
      <c r="T10" s="125"/>
    </row>
    <row r="11" spans="1:20" hidden="1" x14ac:dyDescent="0.25">
      <c r="A11" s="165" t="s">
        <v>128</v>
      </c>
      <c r="B11" s="164"/>
      <c r="C11" s="164"/>
      <c r="D11" s="125"/>
      <c r="E11" s="163" t="s">
        <v>132</v>
      </c>
      <c r="F11" s="164"/>
      <c r="G11" s="164"/>
      <c r="H11" s="164"/>
      <c r="I11" s="164"/>
      <c r="J11" s="164"/>
      <c r="K11" s="164"/>
      <c r="L11" s="164"/>
      <c r="M11" s="164"/>
      <c r="N11" s="164"/>
      <c r="O11" s="164"/>
      <c r="P11" s="164"/>
      <c r="Q11" s="164"/>
      <c r="R11" s="164"/>
      <c r="S11" s="164"/>
      <c r="T11" s="125"/>
    </row>
    <row r="12" spans="1:20" hidden="1" x14ac:dyDescent="0.25">
      <c r="A12" s="4" t="s">
        <v>92</v>
      </c>
      <c r="B12" s="17">
        <v>0.33</v>
      </c>
      <c r="C12" s="17"/>
      <c r="D12" s="43"/>
      <c r="E12" s="157"/>
      <c r="F12" s="164"/>
      <c r="G12" s="164"/>
      <c r="H12" s="164"/>
      <c r="I12" s="164"/>
      <c r="J12" s="164"/>
      <c r="K12" s="164"/>
      <c r="L12" s="164"/>
      <c r="M12" s="164"/>
      <c r="N12" s="164"/>
      <c r="O12" s="164"/>
      <c r="P12" s="164"/>
      <c r="Q12" s="164"/>
      <c r="R12" s="164"/>
      <c r="S12" s="164"/>
      <c r="T12" s="125"/>
    </row>
    <row r="13" spans="1:20" ht="13.2" customHeight="1" x14ac:dyDescent="0.25">
      <c r="A13" s="4"/>
      <c r="B13" s="50"/>
      <c r="C13" s="50"/>
      <c r="D13" s="50"/>
      <c r="E13" s="170" t="s">
        <v>111</v>
      </c>
      <c r="F13" s="171"/>
      <c r="G13" s="171"/>
      <c r="H13" s="171"/>
      <c r="I13" s="171"/>
      <c r="J13" s="171"/>
      <c r="K13" s="171"/>
      <c r="L13" s="171"/>
      <c r="M13" s="171"/>
      <c r="N13" s="172"/>
      <c r="O13" s="180" t="s">
        <v>106</v>
      </c>
      <c r="P13" s="181"/>
      <c r="Q13" s="181"/>
      <c r="R13" s="181"/>
      <c r="S13" s="181"/>
      <c r="T13" s="182"/>
    </row>
    <row r="14" spans="1:20" x14ac:dyDescent="0.25">
      <c r="A14" s="4" t="s">
        <v>176</v>
      </c>
      <c r="B14" s="65">
        <v>0.75</v>
      </c>
      <c r="C14" s="50"/>
      <c r="D14" s="50"/>
      <c r="E14" s="173"/>
      <c r="F14" s="174"/>
      <c r="G14" s="174"/>
      <c r="H14" s="174"/>
      <c r="I14" s="174"/>
      <c r="J14" s="174"/>
      <c r="K14" s="174"/>
      <c r="L14" s="174"/>
      <c r="M14" s="174"/>
      <c r="N14" s="175"/>
      <c r="O14" s="54" t="str">
        <f>'Machinery Calculations'!$C4</f>
        <v>Increase</v>
      </c>
      <c r="P14" s="54" t="str">
        <f>'Machinery Calculations'!$C4</f>
        <v>Increase</v>
      </c>
      <c r="Q14" s="54" t="str">
        <f>'Machinery Calculations'!$C4</f>
        <v>Increase</v>
      </c>
      <c r="R14" s="54" t="str">
        <f>'Machinery Calculations'!$C4</f>
        <v>Increase</v>
      </c>
      <c r="S14" s="54" t="str">
        <f>'Machinery Calculations'!$C4</f>
        <v>Increase</v>
      </c>
      <c r="T14" s="54" t="str">
        <f>'Machinery Calculations'!$C4</f>
        <v>Increase</v>
      </c>
    </row>
    <row r="15" spans="1:20" x14ac:dyDescent="0.25">
      <c r="A15" s="4"/>
      <c r="B15" s="50"/>
      <c r="C15" s="50"/>
      <c r="D15" s="50"/>
      <c r="E15" s="176"/>
      <c r="F15" s="177"/>
      <c r="G15" s="177"/>
      <c r="H15" s="177"/>
      <c r="I15" s="177"/>
      <c r="J15" s="177"/>
      <c r="K15" s="177"/>
      <c r="L15" s="177"/>
      <c r="M15" s="177"/>
      <c r="N15" s="178"/>
      <c r="O15" s="52">
        <f>'Machinery Calculations'!$C5</f>
        <v>0.15</v>
      </c>
      <c r="P15" s="52">
        <f>'Machinery Calculations'!$C5</f>
        <v>0.15</v>
      </c>
      <c r="Q15" s="52">
        <f>'Machinery Calculations'!$C5</f>
        <v>0.15</v>
      </c>
      <c r="R15" s="52">
        <f>'Machinery Calculations'!$C5</f>
        <v>0.15</v>
      </c>
      <c r="S15" s="52">
        <f>'Machinery Calculations'!$C5</f>
        <v>0.15</v>
      </c>
      <c r="T15" s="52">
        <f>'Machinery Calculations'!$C5</f>
        <v>0.15</v>
      </c>
    </row>
    <row r="16" spans="1:20" s="1" customFormat="1" ht="43.2" customHeight="1" x14ac:dyDescent="0.25">
      <c r="A16" s="3" t="s">
        <v>0</v>
      </c>
      <c r="B16" s="33" t="s">
        <v>1</v>
      </c>
      <c r="C16" s="33" t="s">
        <v>119</v>
      </c>
      <c r="D16" s="33" t="s">
        <v>127</v>
      </c>
      <c r="E16" s="64" t="s">
        <v>237</v>
      </c>
      <c r="F16" s="3" t="s">
        <v>10</v>
      </c>
      <c r="G16" s="3" t="s">
        <v>2</v>
      </c>
      <c r="H16" s="3" t="s">
        <v>6</v>
      </c>
      <c r="I16" s="3" t="s">
        <v>3</v>
      </c>
      <c r="J16" s="3" t="s">
        <v>4</v>
      </c>
      <c r="K16" s="3" t="s">
        <v>7</v>
      </c>
      <c r="L16" s="3" t="s">
        <v>8</v>
      </c>
      <c r="M16" s="3" t="s">
        <v>9</v>
      </c>
      <c r="N16" s="3"/>
      <c r="O16" s="3" t="s">
        <v>96</v>
      </c>
      <c r="P16" s="3" t="s">
        <v>98</v>
      </c>
      <c r="Q16" s="3" t="s">
        <v>80</v>
      </c>
      <c r="R16" s="3" t="s">
        <v>8</v>
      </c>
      <c r="S16" s="3" t="s">
        <v>99</v>
      </c>
      <c r="T16" s="3" t="s">
        <v>58</v>
      </c>
    </row>
    <row r="17" spans="1:20" x14ac:dyDescent="0.25">
      <c r="A17" s="4"/>
      <c r="B17" s="34"/>
      <c r="C17" s="32"/>
      <c r="D17" s="44"/>
      <c r="E17" s="4"/>
      <c r="F17" s="4"/>
      <c r="G17" s="4"/>
      <c r="H17" s="4"/>
      <c r="I17" s="4"/>
      <c r="J17" s="4"/>
      <c r="K17" s="4"/>
      <c r="L17" s="4"/>
      <c r="M17" s="4"/>
      <c r="N17" s="4"/>
      <c r="O17" s="4"/>
      <c r="P17" s="4"/>
      <c r="Q17" s="4"/>
      <c r="R17" s="4"/>
      <c r="S17" s="4"/>
      <c r="T17" s="4"/>
    </row>
    <row r="18" spans="1:20" x14ac:dyDescent="0.25">
      <c r="A18" s="12" t="s">
        <v>11</v>
      </c>
      <c r="B18" s="35"/>
      <c r="C18" s="36"/>
      <c r="D18" s="45"/>
      <c r="E18" s="9"/>
      <c r="F18" s="9"/>
      <c r="G18" s="4"/>
      <c r="H18" s="4"/>
      <c r="I18" s="4"/>
      <c r="J18" s="4"/>
      <c r="K18" s="4"/>
      <c r="L18" s="4"/>
      <c r="M18" s="4"/>
      <c r="N18" s="4"/>
      <c r="O18" s="4"/>
      <c r="P18" s="4"/>
      <c r="Q18" s="4"/>
      <c r="R18" s="4"/>
      <c r="S18" s="4"/>
      <c r="T18" s="4"/>
    </row>
    <row r="19" spans="1:20" x14ac:dyDescent="0.25">
      <c r="A19" s="4" t="s">
        <v>12</v>
      </c>
      <c r="B19" s="114">
        <v>0.25</v>
      </c>
      <c r="C19" s="38"/>
      <c r="D19" s="46"/>
      <c r="E19" s="9">
        <v>26.537687447000394</v>
      </c>
      <c r="F19" s="9">
        <f>IF(D19&gt;0,D19,E19-(G19*B$2*1.05)+H19-I19*12.5+J19)</f>
        <v>26.965689393549216</v>
      </c>
      <c r="G19" s="13">
        <v>2.06175</v>
      </c>
      <c r="H19" s="5">
        <f t="shared" ref="H19:H28" si="0">G19*B$3*1.05</f>
        <v>5.9533031250000006</v>
      </c>
      <c r="I19" s="14">
        <v>0.25072390572390574</v>
      </c>
      <c r="J19" s="5">
        <f>I19*B$4*(1-B$7)+I19*B$6*(B$7)</f>
        <v>6.2680976430976436</v>
      </c>
      <c r="K19" s="5">
        <f t="shared" ref="K19:K28" si="1">F19-H19-J19</f>
        <v>14.744288625451571</v>
      </c>
      <c r="L19" s="5">
        <f t="shared" ref="L19:L28" si="2">K19*B$12</f>
        <v>4.8656152463990185</v>
      </c>
      <c r="M19" s="5">
        <f t="shared" ref="M19:M28" si="3">K19-L19</f>
        <v>9.8786733790525521</v>
      </c>
      <c r="N19" s="4"/>
      <c r="O19" s="5">
        <f t="shared" ref="O19:O28" si="4">IF(O$14="Increase",IF(C19="y",0,IF($B19&gt;0,H19*$B19*(1+O$15),0)),IF(C19="y",0,IF($B19&gt;0,H19*$B19*(1-O$15),0)))</f>
        <v>1.7115746484375001</v>
      </c>
      <c r="P19" s="5">
        <f t="shared" ref="P19:P28" si="5">IF(P$14="Increase",IF(C19="y",0,IF($B19&gt;0,(I19*B$4*(1-B$7))*$B19*(1+P$15),0)),IF(C19="y",0,IF($B19&gt;0,(I19*B$4*(1-B$7))*$B19*(1-P$15),0)))</f>
        <v>1.8020780723905725</v>
      </c>
      <c r="Q19" s="5">
        <f t="shared" ref="Q19:Q28" si="6">IF(Q$14="Increase",IF(C19="y",0,IF($B19&gt;0,(I19*B$6*(B$7))*$B19*(1+Q$15),0)),IF(C19="y",0,IF($B19&gt;0,(I19*B$6*(B$7))*$B19*(1-Q$15),0)))</f>
        <v>0</v>
      </c>
      <c r="R19" s="5">
        <f t="shared" ref="R19:R28" si="7">IF(R$14="Increase",IF(C19="y",0,IF($B19&gt;0,L19*$B19*(1+R$15),0)),IF(C19="y",0,IF($B19&gt;0,L19*$B19*(1-R$15),0)))</f>
        <v>1.3988643833397176</v>
      </c>
      <c r="S19" s="5">
        <f t="shared" ref="S19:S28" si="8">IF(S$14="Increase",IF(C19="y",0,IF($B19&gt;0,M19*$B19*(1+S$15),0)),IF(C19="y",0,IF($B19&gt;0,M19*$B19*(1-S$15),0)))</f>
        <v>2.8401185964776086</v>
      </c>
      <c r="T19" s="5">
        <f t="shared" ref="T19:T28" si="9">IF(T$14="Increase",IF(C19="y",F19*B19*(1+T$15),0),IF(C19="y",F19*B19*(1-T$15),0))</f>
        <v>0</v>
      </c>
    </row>
    <row r="20" spans="1:20" x14ac:dyDescent="0.25">
      <c r="A20" s="4" t="s">
        <v>13</v>
      </c>
      <c r="B20" s="37"/>
      <c r="C20" s="38"/>
      <c r="D20" s="46"/>
      <c r="E20" s="9"/>
      <c r="F20" s="9">
        <f t="shared" ref="F20:F28" si="10">IF(D20&gt;0,D20,E20-(G20*B$2*1.05)+H20-I20*12.5+J20)</f>
        <v>-0.55412878787878883</v>
      </c>
      <c r="G20" s="13">
        <v>1.06</v>
      </c>
      <c r="H20" s="5">
        <f t="shared" si="0"/>
        <v>3.0607500000000001</v>
      </c>
      <c r="I20" s="14">
        <v>6.6969696969696971E-2</v>
      </c>
      <c r="J20" s="5">
        <f>I20*B$4*(1-B$7)+I20*B$6*(B$7)</f>
        <v>1.6742424242424243</v>
      </c>
      <c r="K20" s="5">
        <f t="shared" si="1"/>
        <v>-5.2891212121212128</v>
      </c>
      <c r="L20" s="5">
        <f t="shared" si="2"/>
        <v>-1.7454100000000004</v>
      </c>
      <c r="M20" s="5">
        <f t="shared" si="3"/>
        <v>-3.5437112121212122</v>
      </c>
      <c r="N20" s="4"/>
      <c r="O20" s="5">
        <f t="shared" si="4"/>
        <v>0</v>
      </c>
      <c r="P20" s="5">
        <f t="shared" si="5"/>
        <v>0</v>
      </c>
      <c r="Q20" s="5">
        <f t="shared" si="6"/>
        <v>0</v>
      </c>
      <c r="R20" s="5">
        <f t="shared" si="7"/>
        <v>0</v>
      </c>
      <c r="S20" s="5">
        <f t="shared" si="8"/>
        <v>0</v>
      </c>
      <c r="T20" s="5">
        <f t="shared" si="9"/>
        <v>0</v>
      </c>
    </row>
    <row r="21" spans="1:20" x14ac:dyDescent="0.25">
      <c r="A21" s="4" t="s">
        <v>14</v>
      </c>
      <c r="B21" s="37">
        <v>1</v>
      </c>
      <c r="C21" s="38"/>
      <c r="D21" s="46"/>
      <c r="E21" s="9">
        <v>18.401838333724196</v>
      </c>
      <c r="F21" s="9">
        <f t="shared" si="10"/>
        <v>18.866953232714096</v>
      </c>
      <c r="G21" s="13">
        <v>0.90200000000000002</v>
      </c>
      <c r="H21" s="5">
        <f t="shared" si="0"/>
        <v>2.6045250000000002</v>
      </c>
      <c r="I21" s="14">
        <v>0.13191919191919191</v>
      </c>
      <c r="J21" s="5">
        <f>I21*B$4*(1-B$7)+I21*B$6*(B$7)</f>
        <v>3.2979797979797976</v>
      </c>
      <c r="K21" s="5">
        <f t="shared" si="1"/>
        <v>12.964448434734299</v>
      </c>
      <c r="L21" s="5">
        <f t="shared" si="2"/>
        <v>4.2782679834623192</v>
      </c>
      <c r="M21" s="5">
        <f t="shared" si="3"/>
        <v>8.68618045127198</v>
      </c>
      <c r="N21" s="4"/>
      <c r="O21" s="5">
        <f t="shared" si="4"/>
        <v>2.9952037499999999</v>
      </c>
      <c r="P21" s="5">
        <f t="shared" si="5"/>
        <v>3.7926767676767668</v>
      </c>
      <c r="Q21" s="5">
        <f t="shared" si="6"/>
        <v>0</v>
      </c>
      <c r="R21" s="5">
        <f t="shared" si="7"/>
        <v>4.9200081809816663</v>
      </c>
      <c r="S21" s="5">
        <f t="shared" si="8"/>
        <v>9.9891075189627756</v>
      </c>
      <c r="T21" s="5">
        <f t="shared" si="9"/>
        <v>0</v>
      </c>
    </row>
    <row r="22" spans="1:20" x14ac:dyDescent="0.25">
      <c r="A22" s="4" t="s">
        <v>15</v>
      </c>
      <c r="B22" s="37"/>
      <c r="C22" s="38"/>
      <c r="D22" s="46"/>
      <c r="E22" s="9"/>
      <c r="F22" s="9">
        <f t="shared" si="10"/>
        <v>-0.69511574074074201</v>
      </c>
      <c r="G22" s="13">
        <v>1.87</v>
      </c>
      <c r="H22" s="5">
        <f t="shared" si="0"/>
        <v>5.3996250000000003</v>
      </c>
      <c r="I22" s="14">
        <v>0.14074074074074072</v>
      </c>
      <c r="J22" s="5">
        <f>I22*B$4*(1-B$7)+I22*B$6*(B$7)</f>
        <v>3.5185185185185182</v>
      </c>
      <c r="K22" s="5">
        <f t="shared" si="1"/>
        <v>-9.6132592592592605</v>
      </c>
      <c r="L22" s="5">
        <f t="shared" si="2"/>
        <v>-3.1723755555555559</v>
      </c>
      <c r="M22" s="5">
        <f t="shared" si="3"/>
        <v>-6.4408837037037046</v>
      </c>
      <c r="N22" s="4"/>
      <c r="O22" s="5">
        <f t="shared" si="4"/>
        <v>0</v>
      </c>
      <c r="P22" s="5">
        <f t="shared" si="5"/>
        <v>0</v>
      </c>
      <c r="Q22" s="5">
        <f t="shared" si="6"/>
        <v>0</v>
      </c>
      <c r="R22" s="5">
        <f t="shared" si="7"/>
        <v>0</v>
      </c>
      <c r="S22" s="5">
        <f t="shared" si="8"/>
        <v>0</v>
      </c>
      <c r="T22" s="5">
        <f t="shared" si="9"/>
        <v>0</v>
      </c>
    </row>
    <row r="23" spans="1:20" x14ac:dyDescent="0.25">
      <c r="A23" s="7"/>
      <c r="B23" s="37"/>
      <c r="C23" s="38"/>
      <c r="D23" s="46"/>
      <c r="E23" s="9"/>
      <c r="F23" s="9"/>
      <c r="G23" s="13"/>
      <c r="H23" s="5"/>
      <c r="I23" s="14"/>
      <c r="J23" s="5"/>
      <c r="K23" s="5"/>
      <c r="L23" s="5"/>
      <c r="M23" s="5"/>
      <c r="N23" s="4"/>
      <c r="O23" s="5"/>
      <c r="P23" s="5"/>
      <c r="Q23" s="5"/>
      <c r="R23" s="5"/>
      <c r="S23" s="5"/>
      <c r="T23" s="5"/>
    </row>
    <row r="24" spans="1:20" x14ac:dyDescent="0.25">
      <c r="A24" s="4" t="s">
        <v>16</v>
      </c>
      <c r="B24" s="37">
        <v>1</v>
      </c>
      <c r="C24" s="38"/>
      <c r="D24" s="46"/>
      <c r="E24" s="9">
        <v>17.017708929156527</v>
      </c>
      <c r="F24" s="9">
        <f t="shared" si="10"/>
        <v>16.777623070570669</v>
      </c>
      <c r="G24" s="13">
        <v>0.62400000000000011</v>
      </c>
      <c r="H24" s="5">
        <f t="shared" si="0"/>
        <v>1.8018000000000003</v>
      </c>
      <c r="I24" s="14">
        <v>4.631313131313132E-2</v>
      </c>
      <c r="J24" s="5">
        <f>I24*B$4*(1-B$7)+I24*B$6*(B$7)</f>
        <v>1.1578282828282831</v>
      </c>
      <c r="K24" s="5">
        <f t="shared" si="1"/>
        <v>13.817994787742386</v>
      </c>
      <c r="L24" s="5">
        <f t="shared" si="2"/>
        <v>4.5599382799549879</v>
      </c>
      <c r="M24" s="5">
        <f t="shared" si="3"/>
        <v>9.2580565077873977</v>
      </c>
      <c r="N24" s="4"/>
      <c r="O24" s="5">
        <f t="shared" si="4"/>
        <v>2.0720700000000001</v>
      </c>
      <c r="P24" s="5">
        <f t="shared" si="5"/>
        <v>1.3315025252525254</v>
      </c>
      <c r="Q24" s="5">
        <f t="shared" si="6"/>
        <v>0</v>
      </c>
      <c r="R24" s="5">
        <f t="shared" si="7"/>
        <v>5.2439290219482357</v>
      </c>
      <c r="S24" s="5">
        <f t="shared" si="8"/>
        <v>10.646764983955507</v>
      </c>
      <c r="T24" s="5">
        <f t="shared" si="9"/>
        <v>0</v>
      </c>
    </row>
    <row r="25" spans="1:20" x14ac:dyDescent="0.25">
      <c r="A25" s="4" t="s">
        <v>17</v>
      </c>
      <c r="B25" s="37"/>
      <c r="C25" s="38"/>
      <c r="D25" s="46"/>
      <c r="E25" s="9"/>
      <c r="F25" s="9">
        <f t="shared" si="10"/>
        <v>0.7442727272727272</v>
      </c>
      <c r="G25" s="13">
        <v>0.36799999999999999</v>
      </c>
      <c r="H25" s="5">
        <f t="shared" si="0"/>
        <v>1.0626</v>
      </c>
      <c r="I25" s="14">
        <v>9.818181818181819E-2</v>
      </c>
      <c r="J25" s="5">
        <f>I25*B$4*(1-B$7)+I25*B$6*(B$7)</f>
        <v>2.4545454545454546</v>
      </c>
      <c r="K25" s="5">
        <f t="shared" si="1"/>
        <v>-2.7728727272727274</v>
      </c>
      <c r="L25" s="5">
        <f t="shared" si="2"/>
        <v>-0.91504800000000008</v>
      </c>
      <c r="M25" s="5">
        <f t="shared" si="3"/>
        <v>-1.8578247272727273</v>
      </c>
      <c r="N25" s="4"/>
      <c r="O25" s="5">
        <f t="shared" si="4"/>
        <v>0</v>
      </c>
      <c r="P25" s="5">
        <f t="shared" si="5"/>
        <v>0</v>
      </c>
      <c r="Q25" s="5">
        <f t="shared" si="6"/>
        <v>0</v>
      </c>
      <c r="R25" s="5">
        <f t="shared" si="7"/>
        <v>0</v>
      </c>
      <c r="S25" s="5">
        <f t="shared" si="8"/>
        <v>0</v>
      </c>
      <c r="T25" s="5">
        <f t="shared" si="9"/>
        <v>0</v>
      </c>
    </row>
    <row r="26" spans="1:20" x14ac:dyDescent="0.25">
      <c r="A26" s="4" t="s">
        <v>18</v>
      </c>
      <c r="B26" s="37"/>
      <c r="C26" s="38"/>
      <c r="D26" s="46"/>
      <c r="E26" s="9"/>
      <c r="F26" s="9">
        <f t="shared" si="10"/>
        <v>-0.48448579545454518</v>
      </c>
      <c r="G26" s="13">
        <v>2.3344999999999998</v>
      </c>
      <c r="H26" s="5">
        <f t="shared" si="0"/>
        <v>6.7408687499999997</v>
      </c>
      <c r="I26" s="14">
        <v>0.20636363636363636</v>
      </c>
      <c r="J26" s="5">
        <f>I26*B$4*(1-B$7)+I26*B$6*(B$7)</f>
        <v>5.1590909090909092</v>
      </c>
      <c r="K26" s="5">
        <f t="shared" si="1"/>
        <v>-12.384445454545453</v>
      </c>
      <c r="L26" s="5">
        <f t="shared" si="2"/>
        <v>-4.0868669999999998</v>
      </c>
      <c r="M26" s="5">
        <f t="shared" si="3"/>
        <v>-8.2975784545454534</v>
      </c>
      <c r="N26" s="4"/>
      <c r="O26" s="5">
        <f t="shared" si="4"/>
        <v>0</v>
      </c>
      <c r="P26" s="5">
        <f t="shared" si="5"/>
        <v>0</v>
      </c>
      <c r="Q26" s="5">
        <f t="shared" si="6"/>
        <v>0</v>
      </c>
      <c r="R26" s="5">
        <f t="shared" si="7"/>
        <v>0</v>
      </c>
      <c r="S26" s="5">
        <f t="shared" si="8"/>
        <v>0</v>
      </c>
      <c r="T26" s="5">
        <f t="shared" si="9"/>
        <v>0</v>
      </c>
    </row>
    <row r="27" spans="1:20" x14ac:dyDescent="0.25">
      <c r="A27" s="4" t="s">
        <v>19</v>
      </c>
      <c r="B27" s="37"/>
      <c r="C27" s="38"/>
      <c r="D27" s="46"/>
      <c r="E27" s="9"/>
      <c r="F27" s="9">
        <f t="shared" si="10"/>
        <v>-0.90915135732323105</v>
      </c>
      <c r="G27" s="13">
        <v>1.9442499999999998</v>
      </c>
      <c r="H27" s="5">
        <f t="shared" si="0"/>
        <v>5.6140218749999997</v>
      </c>
      <c r="I27" s="14">
        <v>0.13141414141414143</v>
      </c>
      <c r="J27" s="5">
        <f>I27*B$4*(1-B$7)+I27*B$6*(B$7)</f>
        <v>3.2853535353535355</v>
      </c>
      <c r="K27" s="5">
        <f t="shared" si="1"/>
        <v>-9.8085267676767671</v>
      </c>
      <c r="L27" s="5">
        <f t="shared" si="2"/>
        <v>-3.2368138333333332</v>
      </c>
      <c r="M27" s="5">
        <f t="shared" si="3"/>
        <v>-6.5717129343434344</v>
      </c>
      <c r="N27" s="4"/>
      <c r="O27" s="5">
        <f t="shared" si="4"/>
        <v>0</v>
      </c>
      <c r="P27" s="5">
        <f t="shared" si="5"/>
        <v>0</v>
      </c>
      <c r="Q27" s="5">
        <f t="shared" si="6"/>
        <v>0</v>
      </c>
      <c r="R27" s="5">
        <f t="shared" si="7"/>
        <v>0</v>
      </c>
      <c r="S27" s="5">
        <f t="shared" si="8"/>
        <v>0</v>
      </c>
      <c r="T27" s="5">
        <f t="shared" si="9"/>
        <v>0</v>
      </c>
    </row>
    <row r="28" spans="1:20" x14ac:dyDescent="0.25">
      <c r="A28" s="4" t="s">
        <v>20</v>
      </c>
      <c r="B28" s="37"/>
      <c r="C28" s="38"/>
      <c r="D28" s="46"/>
      <c r="E28" s="9"/>
      <c r="F28" s="9">
        <f t="shared" si="10"/>
        <v>0.65578977272727235</v>
      </c>
      <c r="G28" s="13">
        <v>0.85099999999999998</v>
      </c>
      <c r="H28" s="5">
        <f t="shared" si="0"/>
        <v>2.4572625000000001</v>
      </c>
      <c r="I28" s="14">
        <v>0.14181818181818182</v>
      </c>
      <c r="J28" s="5">
        <f>I28*B$4*(1-B$7)+I28*B$6*(B$7)</f>
        <v>3.5454545454545454</v>
      </c>
      <c r="K28" s="5">
        <f t="shared" si="1"/>
        <v>-5.3469272727272728</v>
      </c>
      <c r="L28" s="5">
        <f t="shared" si="2"/>
        <v>-1.764486</v>
      </c>
      <c r="M28" s="5">
        <f t="shared" si="3"/>
        <v>-3.582441272727273</v>
      </c>
      <c r="N28" s="4"/>
      <c r="O28" s="5">
        <f t="shared" si="4"/>
        <v>0</v>
      </c>
      <c r="P28" s="5">
        <f t="shared" si="5"/>
        <v>0</v>
      </c>
      <c r="Q28" s="5">
        <f t="shared" si="6"/>
        <v>0</v>
      </c>
      <c r="R28" s="5">
        <f t="shared" si="7"/>
        <v>0</v>
      </c>
      <c r="S28" s="5">
        <f t="shared" si="8"/>
        <v>0</v>
      </c>
      <c r="T28" s="5">
        <f t="shared" si="9"/>
        <v>0</v>
      </c>
    </row>
    <row r="29" spans="1:20" x14ac:dyDescent="0.25">
      <c r="A29" s="4"/>
      <c r="B29" s="37"/>
      <c r="C29" s="38"/>
      <c r="D29" s="46"/>
      <c r="E29" s="9"/>
      <c r="F29" s="9"/>
      <c r="G29" s="4"/>
      <c r="H29" s="4"/>
      <c r="I29" s="4"/>
      <c r="J29" s="4"/>
      <c r="K29" s="4"/>
      <c r="L29" s="4"/>
      <c r="M29" s="4"/>
      <c r="N29" s="4"/>
      <c r="O29" s="4"/>
      <c r="P29" s="4"/>
      <c r="Q29" s="4"/>
      <c r="R29" s="4"/>
      <c r="S29" s="4"/>
      <c r="T29" s="4"/>
    </row>
    <row r="30" spans="1:20" x14ac:dyDescent="0.25">
      <c r="A30" s="12" t="s">
        <v>21</v>
      </c>
      <c r="B30" s="37"/>
      <c r="C30" s="38"/>
      <c r="D30" s="46"/>
      <c r="E30" s="9"/>
      <c r="F30" s="9"/>
      <c r="G30" s="4"/>
      <c r="H30" s="4"/>
      <c r="I30" s="4"/>
      <c r="J30" s="4"/>
      <c r="K30" s="4"/>
      <c r="L30" s="4"/>
      <c r="M30" s="4"/>
      <c r="N30" s="4"/>
      <c r="O30" s="4"/>
      <c r="P30" s="4"/>
      <c r="Q30" s="4"/>
      <c r="R30" s="4"/>
      <c r="S30" s="4"/>
      <c r="T30" s="4"/>
    </row>
    <row r="31" spans="1:20" x14ac:dyDescent="0.25">
      <c r="A31" s="4" t="s">
        <v>22</v>
      </c>
      <c r="B31" s="37">
        <v>1</v>
      </c>
      <c r="C31" s="38"/>
      <c r="D31" s="46"/>
      <c r="E31" s="9">
        <v>21.709660476489159</v>
      </c>
      <c r="F31" s="9">
        <f t="shared" ref="F31:F37" si="11">IF(D31&gt;0,D31,E31-(G31*B$2*1.05)+H31-I31*12.5+J31)</f>
        <v>22.09675885611879</v>
      </c>
      <c r="G31" s="13">
        <v>0.47050000000000003</v>
      </c>
      <c r="H31" s="5">
        <f t="shared" ref="H31:H37" si="12">G31*B$3*1.05</f>
        <v>1.3585687500000001</v>
      </c>
      <c r="I31" s="14">
        <v>8.037037037037037E-2</v>
      </c>
      <c r="J31" s="5">
        <f>I31*B$4*(1-B$7)+I31*B$6*(B$7)</f>
        <v>2.0092592592592591</v>
      </c>
      <c r="K31" s="5">
        <f t="shared" ref="K31:K37" si="13">F31-H31-J31</f>
        <v>18.72893084685953</v>
      </c>
      <c r="L31" s="5">
        <f t="shared" ref="L31:L37" si="14">K31*B$12</f>
        <v>6.1805471794636455</v>
      </c>
      <c r="M31" s="5">
        <f t="shared" ref="M31:M37" si="15">K31-L31</f>
        <v>12.548383667395886</v>
      </c>
      <c r="N31" s="4"/>
      <c r="O31" s="5">
        <f t="shared" ref="O31:O37" si="16">IF(O$14="Increase",IF(C31="y",0,IF($B31&gt;0,H31*$B31*(1+O$15),0)),IF(C31="y",0,IF($B31&gt;0,H31*$B31*(1-O$15),0)))</f>
        <v>1.5623540625000001</v>
      </c>
      <c r="P31" s="5">
        <f t="shared" ref="P31:P37" si="17">IF(P$14="Increase",IF(C31="y",0,IF($B31&gt;0,(I31*B$4*(1-B$7))*$B31*(1+P$15),0)),IF(C31="y",0,IF($B31&gt;0,(I31*B$4*(1-B$7))*$B31*(1-P$15),0)))</f>
        <v>2.3106481481481476</v>
      </c>
      <c r="Q31" s="5">
        <f t="shared" ref="Q31:Q37" si="18">IF(Q$14="Increase",IF(C31="y",0,IF($B31&gt;0,(I31*B$6*(B$7))*$B31*(1+Q$15),0)),IF(C31="y",0,IF($B31&gt;0,(I31*B$6*(B$7))*$B31*(1-Q$15),0)))</f>
        <v>0</v>
      </c>
      <c r="R31" s="5">
        <f t="shared" ref="R31:R37" si="19">IF(R$14="Increase",IF(C31="y",0,IF($B31&gt;0,L31*$B31*(1+R$15),0)),IF(C31="y",0,IF($B31&gt;0,L31*$B31*(1-R$15),0)))</f>
        <v>7.1076292563831922</v>
      </c>
      <c r="S31" s="5">
        <f t="shared" ref="S31:S37" si="20">IF(S$14="Increase",IF(C31="y",0,IF($B31&gt;0,M31*$B31*(1+S$15),0)),IF(C31="y",0,IF($B31&gt;0,M31*$B31*(1-S$15),0)))</f>
        <v>14.430641217505267</v>
      </c>
      <c r="T31" s="5">
        <f t="shared" ref="T31:T37" si="21">IF(T$14="Increase",IF(C31="y",F31*B31*(1+T$15),0),IF(C31="y",F31*B31*(1-T$15),0))</f>
        <v>0</v>
      </c>
    </row>
    <row r="32" spans="1:20" x14ac:dyDescent="0.25">
      <c r="A32" s="7"/>
      <c r="B32" s="37"/>
      <c r="C32" s="38"/>
      <c r="D32" s="46"/>
      <c r="E32" s="9"/>
      <c r="F32" s="9"/>
      <c r="G32" s="13"/>
      <c r="H32" s="5"/>
      <c r="I32" s="14"/>
      <c r="J32" s="5"/>
      <c r="K32" s="5"/>
      <c r="L32" s="5"/>
      <c r="M32" s="5"/>
      <c r="N32" s="4"/>
      <c r="O32" s="5"/>
      <c r="P32" s="5"/>
      <c r="Q32" s="5"/>
      <c r="R32" s="5"/>
      <c r="S32" s="5"/>
      <c r="T32" s="5"/>
    </row>
    <row r="33" spans="1:20" x14ac:dyDescent="0.25">
      <c r="A33" s="4" t="s">
        <v>24</v>
      </c>
      <c r="B33" s="37"/>
      <c r="C33" s="38"/>
      <c r="D33" s="46"/>
      <c r="E33" s="9"/>
      <c r="F33" s="9">
        <f t="shared" si="11"/>
        <v>0.38709837962962945</v>
      </c>
      <c r="G33" s="13">
        <v>0.47050000000000003</v>
      </c>
      <c r="H33" s="5">
        <f t="shared" si="12"/>
        <v>1.3585687500000001</v>
      </c>
      <c r="I33" s="14">
        <v>8.037037037037037E-2</v>
      </c>
      <c r="J33" s="5">
        <f>I33*B$4*(1-B$7)+I33*B$6*(B$7)</f>
        <v>2.0092592592592591</v>
      </c>
      <c r="K33" s="5">
        <f t="shared" si="13"/>
        <v>-2.9807296296296295</v>
      </c>
      <c r="L33" s="5">
        <f t="shared" si="14"/>
        <v>-0.98364077777777781</v>
      </c>
      <c r="M33" s="5">
        <f t="shared" si="15"/>
        <v>-1.9970888518518517</v>
      </c>
      <c r="N33" s="4"/>
      <c r="O33" s="5">
        <f t="shared" si="16"/>
        <v>0</v>
      </c>
      <c r="P33" s="5">
        <f t="shared" si="17"/>
        <v>0</v>
      </c>
      <c r="Q33" s="5">
        <f t="shared" si="18"/>
        <v>0</v>
      </c>
      <c r="R33" s="5">
        <f t="shared" si="19"/>
        <v>0</v>
      </c>
      <c r="S33" s="5">
        <f t="shared" si="20"/>
        <v>0</v>
      </c>
      <c r="T33" s="5">
        <f t="shared" si="21"/>
        <v>0</v>
      </c>
    </row>
    <row r="34" spans="1:20" x14ac:dyDescent="0.25">
      <c r="A34" s="4" t="s">
        <v>26</v>
      </c>
      <c r="B34" s="37"/>
      <c r="C34" s="38"/>
      <c r="D34" s="46"/>
      <c r="E34" s="9"/>
      <c r="F34" s="9">
        <f t="shared" si="11"/>
        <v>0.45379976851851822</v>
      </c>
      <c r="G34" s="13">
        <v>0.52550000000000008</v>
      </c>
      <c r="H34" s="5">
        <f t="shared" si="12"/>
        <v>1.5173812500000003</v>
      </c>
      <c r="I34" s="14">
        <v>9.1481481481481469E-2</v>
      </c>
      <c r="J34" s="5">
        <f>I34*B$4*(1-B$7)+I34*B$6*(B$7)</f>
        <v>2.2870370370370368</v>
      </c>
      <c r="K34" s="5">
        <f t="shared" si="13"/>
        <v>-3.3506185185185187</v>
      </c>
      <c r="L34" s="5">
        <f t="shared" si="14"/>
        <v>-1.1057041111111112</v>
      </c>
      <c r="M34" s="5">
        <f t="shared" si="15"/>
        <v>-2.2449144074074074</v>
      </c>
      <c r="N34" s="4"/>
      <c r="O34" s="5">
        <f t="shared" si="16"/>
        <v>0</v>
      </c>
      <c r="P34" s="5">
        <f t="shared" si="17"/>
        <v>0</v>
      </c>
      <c r="Q34" s="5">
        <f t="shared" si="18"/>
        <v>0</v>
      </c>
      <c r="R34" s="5">
        <f t="shared" si="19"/>
        <v>0</v>
      </c>
      <c r="S34" s="5">
        <f t="shared" si="20"/>
        <v>0</v>
      </c>
      <c r="T34" s="5">
        <f t="shared" si="21"/>
        <v>0</v>
      </c>
    </row>
    <row r="35" spans="1:20" x14ac:dyDescent="0.25">
      <c r="A35" s="4" t="s">
        <v>27</v>
      </c>
      <c r="B35" s="37"/>
      <c r="C35" s="38"/>
      <c r="D35" s="46"/>
      <c r="E35" s="9"/>
      <c r="F35" s="9">
        <f t="shared" si="11"/>
        <v>0.45379976851851822</v>
      </c>
      <c r="G35" s="13">
        <v>0.52550000000000008</v>
      </c>
      <c r="H35" s="5">
        <f t="shared" si="12"/>
        <v>1.5173812500000003</v>
      </c>
      <c r="I35" s="14">
        <v>9.1481481481481469E-2</v>
      </c>
      <c r="J35" s="5">
        <f>I35*B$4*(1-B$7)+I35*B$6*(B$7)</f>
        <v>2.2870370370370368</v>
      </c>
      <c r="K35" s="5">
        <f t="shared" si="13"/>
        <v>-3.3506185185185187</v>
      </c>
      <c r="L35" s="5">
        <f t="shared" si="14"/>
        <v>-1.1057041111111112</v>
      </c>
      <c r="M35" s="5">
        <f t="shared" si="15"/>
        <v>-2.2449144074074074</v>
      </c>
      <c r="N35" s="4"/>
      <c r="O35" s="5">
        <f t="shared" si="16"/>
        <v>0</v>
      </c>
      <c r="P35" s="5">
        <f t="shared" si="17"/>
        <v>0</v>
      </c>
      <c r="Q35" s="5">
        <f t="shared" si="18"/>
        <v>0</v>
      </c>
      <c r="R35" s="5">
        <f t="shared" si="19"/>
        <v>0</v>
      </c>
      <c r="S35" s="5">
        <f t="shared" si="20"/>
        <v>0</v>
      </c>
      <c r="T35" s="5">
        <f t="shared" si="21"/>
        <v>0</v>
      </c>
    </row>
    <row r="36" spans="1:20" x14ac:dyDescent="0.25">
      <c r="A36" s="4" t="s">
        <v>28</v>
      </c>
      <c r="B36" s="37"/>
      <c r="C36" s="38"/>
      <c r="D36" s="46"/>
      <c r="E36" s="9"/>
      <c r="F36" s="9">
        <f t="shared" si="11"/>
        <v>0.74316898148148125</v>
      </c>
      <c r="G36" s="13">
        <v>0.753</v>
      </c>
      <c r="H36" s="5">
        <f t="shared" si="12"/>
        <v>2.1742875000000002</v>
      </c>
      <c r="I36" s="14">
        <v>0.13851851851851851</v>
      </c>
      <c r="J36" s="5">
        <f>I36*B$4*(1-B$7)+I36*B$6*(B$7)</f>
        <v>3.4629629629629628</v>
      </c>
      <c r="K36" s="5">
        <f t="shared" si="13"/>
        <v>-4.8940814814814821</v>
      </c>
      <c r="L36" s="5">
        <f t="shared" si="14"/>
        <v>-1.6150468888888891</v>
      </c>
      <c r="M36" s="5">
        <f t="shared" si="15"/>
        <v>-3.279034592592593</v>
      </c>
      <c r="N36" s="4"/>
      <c r="O36" s="5">
        <f t="shared" si="16"/>
        <v>0</v>
      </c>
      <c r="P36" s="5">
        <f t="shared" si="17"/>
        <v>0</v>
      </c>
      <c r="Q36" s="5">
        <f t="shared" si="18"/>
        <v>0</v>
      </c>
      <c r="R36" s="5">
        <f t="shared" si="19"/>
        <v>0</v>
      </c>
      <c r="S36" s="5">
        <f t="shared" si="20"/>
        <v>0</v>
      </c>
      <c r="T36" s="5">
        <f t="shared" si="21"/>
        <v>0</v>
      </c>
    </row>
    <row r="37" spans="1:20" x14ac:dyDescent="0.25">
      <c r="A37" s="4" t="s">
        <v>29</v>
      </c>
      <c r="B37" s="37"/>
      <c r="C37" s="38"/>
      <c r="D37" s="46"/>
      <c r="E37" s="9"/>
      <c r="F37" s="9">
        <f t="shared" si="11"/>
        <v>0.74316898148148125</v>
      </c>
      <c r="G37" s="13">
        <v>0.753</v>
      </c>
      <c r="H37" s="5">
        <f t="shared" si="12"/>
        <v>2.1742875000000002</v>
      </c>
      <c r="I37" s="14">
        <v>0.13851851851851851</v>
      </c>
      <c r="J37" s="5">
        <f>I37*B$4*(1-B$7)+I37*B$6*(B$7)</f>
        <v>3.4629629629629628</v>
      </c>
      <c r="K37" s="5">
        <f t="shared" si="13"/>
        <v>-4.8940814814814821</v>
      </c>
      <c r="L37" s="5">
        <f t="shared" si="14"/>
        <v>-1.6150468888888891</v>
      </c>
      <c r="M37" s="5">
        <f t="shared" si="15"/>
        <v>-3.279034592592593</v>
      </c>
      <c r="N37" s="4"/>
      <c r="O37" s="5">
        <f t="shared" si="16"/>
        <v>0</v>
      </c>
      <c r="P37" s="5">
        <f t="shared" si="17"/>
        <v>0</v>
      </c>
      <c r="Q37" s="5">
        <f t="shared" si="18"/>
        <v>0</v>
      </c>
      <c r="R37" s="5">
        <f t="shared" si="19"/>
        <v>0</v>
      </c>
      <c r="S37" s="5">
        <f t="shared" si="20"/>
        <v>0</v>
      </c>
      <c r="T37" s="5">
        <f t="shared" si="21"/>
        <v>0</v>
      </c>
    </row>
    <row r="38" spans="1:20" x14ac:dyDescent="0.25">
      <c r="A38" s="4"/>
      <c r="B38" s="37"/>
      <c r="C38" s="38"/>
      <c r="D38" s="46"/>
      <c r="E38" s="9"/>
      <c r="F38" s="9"/>
      <c r="G38" s="4"/>
      <c r="H38" s="4"/>
      <c r="I38" s="4"/>
      <c r="J38" s="4"/>
      <c r="K38" s="4"/>
      <c r="L38" s="4"/>
      <c r="M38" s="4"/>
      <c r="N38" s="4"/>
      <c r="O38" s="4"/>
      <c r="P38" s="4"/>
      <c r="Q38" s="4"/>
      <c r="R38" s="4"/>
      <c r="S38" s="4"/>
      <c r="T38" s="4"/>
    </row>
    <row r="39" spans="1:20" x14ac:dyDescent="0.25">
      <c r="A39" s="12" t="s">
        <v>30</v>
      </c>
      <c r="B39" s="37"/>
      <c r="C39" s="38"/>
      <c r="D39" s="46"/>
      <c r="E39" s="9"/>
      <c r="F39" s="9"/>
      <c r="G39" s="4"/>
      <c r="H39" s="4"/>
      <c r="I39" s="4"/>
      <c r="J39" s="4"/>
      <c r="K39" s="4"/>
      <c r="L39" s="4"/>
      <c r="M39" s="4"/>
      <c r="N39" s="4"/>
      <c r="O39" s="4"/>
      <c r="P39" s="4"/>
      <c r="Q39" s="4"/>
      <c r="R39" s="4"/>
      <c r="S39" s="4"/>
      <c r="T39" s="4"/>
    </row>
    <row r="40" spans="1:20" x14ac:dyDescent="0.25">
      <c r="A40" s="4" t="s">
        <v>31</v>
      </c>
      <c r="B40" s="37"/>
      <c r="C40" s="38"/>
      <c r="D40" s="46"/>
      <c r="E40" s="9"/>
      <c r="F40" s="9">
        <f t="shared" ref="F40:F45" si="22">IF(D40&gt;0,D40,E40-(G40*B$2*1.05)+H40-I40*12.5+J40)</f>
        <v>0.23798553240740716</v>
      </c>
      <c r="G40" s="13">
        <v>0.79574999999999996</v>
      </c>
      <c r="H40" s="5">
        <f t="shared" ref="H40:H45" si="23">G40*B$3*1.05</f>
        <v>2.2977281249999999</v>
      </c>
      <c r="I40" s="14">
        <v>0.1025925925925926</v>
      </c>
      <c r="J40" s="5">
        <f t="shared" ref="J40:J45" si="24">I40*B$4*(1-B$7)+I40*B$6*(B$7)</f>
        <v>2.5648148148148149</v>
      </c>
      <c r="K40" s="5">
        <f t="shared" ref="K40:K45" si="25">F40-H40-J40</f>
        <v>-4.6245574074074076</v>
      </c>
      <c r="L40" s="5">
        <f t="shared" ref="L40:L45" si="26">K40*B$12</f>
        <v>-1.5261039444444446</v>
      </c>
      <c r="M40" s="5">
        <f t="shared" ref="M40:M45" si="27">K40-L40</f>
        <v>-3.0984534629629632</v>
      </c>
      <c r="N40" s="4"/>
      <c r="O40" s="5">
        <f t="shared" ref="O40:O45" si="28">IF(O$14="Increase",IF(C40="y",0,IF($B40&gt;0,H40*$B40*(1+O$15),0)),IF(C40="y",0,IF($B40&gt;0,H40*$B40*(1-O$15),0)))</f>
        <v>0</v>
      </c>
      <c r="P40" s="5">
        <f t="shared" ref="P40:P45" si="29">IF(P$14="Increase",IF(C40="y",0,IF($B40&gt;0,(I40*B$4*(1-B$7))*$B40*(1+P$15),0)),IF(C40="y",0,IF($B40&gt;0,(I40*B$4*(1-B$7))*$B40*(1-P$15),0)))</f>
        <v>0</v>
      </c>
      <c r="Q40" s="5">
        <f t="shared" ref="Q40:Q45" si="30">IF(Q$14="Increase",IF(C40="y",0,IF($B40&gt;0,(I40*B$6*(B$7))*$B40*(1+Q$15),0)),IF(C40="y",0,IF($B40&gt;0,(I40*B$6*(B$7))*$B40*(1-Q$15),0)))</f>
        <v>0</v>
      </c>
      <c r="R40" s="5">
        <f t="shared" ref="R40:R45" si="31">IF(R$14="Increase",IF(C40="y",0,IF($B40&gt;0,L40*$B40*(1+R$15),0)),IF(C40="y",0,IF($B40&gt;0,L40*$B40*(1-R$15),0)))</f>
        <v>0</v>
      </c>
      <c r="S40" s="5">
        <f t="shared" ref="S40:S45" si="32">IF(S$14="Increase",IF(C40="y",0,IF($B40&gt;0,M40*$B40*(1+S$15),0)),IF(C40="y",0,IF($B40&gt;0,M40*$B40*(1-S$15),0)))</f>
        <v>0</v>
      </c>
      <c r="T40" s="5">
        <f t="shared" ref="T40:T45" si="33">IF(T$14="Increase",IF(C40="y",F40*B40*(1+T$15),0),IF(C40="y",F40*B40*(1-T$15),0))</f>
        <v>0</v>
      </c>
    </row>
    <row r="41" spans="1:20" x14ac:dyDescent="0.25">
      <c r="A41" s="4" t="s">
        <v>23</v>
      </c>
      <c r="B41" s="37"/>
      <c r="C41" s="38"/>
      <c r="D41" s="46"/>
      <c r="E41" s="9"/>
      <c r="F41" s="9">
        <f t="shared" si="22"/>
        <v>0.23798553240740716</v>
      </c>
      <c r="G41" s="13">
        <v>0.79574999999999996</v>
      </c>
      <c r="H41" s="5">
        <f t="shared" si="23"/>
        <v>2.2977281249999999</v>
      </c>
      <c r="I41" s="14">
        <v>0.1025925925925926</v>
      </c>
      <c r="J41" s="5">
        <f t="shared" si="24"/>
        <v>2.5648148148148149</v>
      </c>
      <c r="K41" s="5">
        <f t="shared" si="25"/>
        <v>-4.6245574074074076</v>
      </c>
      <c r="L41" s="5">
        <f t="shared" si="26"/>
        <v>-1.5261039444444446</v>
      </c>
      <c r="M41" s="5">
        <f t="shared" si="27"/>
        <v>-3.0984534629629632</v>
      </c>
      <c r="N41" s="4"/>
      <c r="O41" s="5">
        <f t="shared" si="28"/>
        <v>0</v>
      </c>
      <c r="P41" s="5">
        <f t="shared" si="29"/>
        <v>0</v>
      </c>
      <c r="Q41" s="5">
        <f t="shared" si="30"/>
        <v>0</v>
      </c>
      <c r="R41" s="5">
        <f t="shared" si="31"/>
        <v>0</v>
      </c>
      <c r="S41" s="5">
        <f t="shared" si="32"/>
        <v>0</v>
      </c>
      <c r="T41" s="5">
        <f t="shared" si="33"/>
        <v>0</v>
      </c>
    </row>
    <row r="42" spans="1:20" x14ac:dyDescent="0.25">
      <c r="A42" s="4" t="s">
        <v>26</v>
      </c>
      <c r="B42" s="37"/>
      <c r="C42" s="38"/>
      <c r="D42" s="46"/>
      <c r="E42" s="9"/>
      <c r="F42" s="9">
        <f t="shared" si="22"/>
        <v>0.23798553240740716</v>
      </c>
      <c r="G42" s="13">
        <v>0.79574999999999996</v>
      </c>
      <c r="H42" s="5">
        <f t="shared" si="23"/>
        <v>2.2977281249999999</v>
      </c>
      <c r="I42" s="14">
        <v>0.1025925925925926</v>
      </c>
      <c r="J42" s="5">
        <f t="shared" si="24"/>
        <v>2.5648148148148149</v>
      </c>
      <c r="K42" s="5">
        <f t="shared" si="25"/>
        <v>-4.6245574074074076</v>
      </c>
      <c r="L42" s="5">
        <f t="shared" si="26"/>
        <v>-1.5261039444444446</v>
      </c>
      <c r="M42" s="5">
        <f t="shared" si="27"/>
        <v>-3.0984534629629632</v>
      </c>
      <c r="N42" s="4"/>
      <c r="O42" s="5">
        <f t="shared" si="28"/>
        <v>0</v>
      </c>
      <c r="P42" s="5">
        <f t="shared" si="29"/>
        <v>0</v>
      </c>
      <c r="Q42" s="5">
        <f t="shared" si="30"/>
        <v>0</v>
      </c>
      <c r="R42" s="5">
        <f t="shared" si="31"/>
        <v>0</v>
      </c>
      <c r="S42" s="5">
        <f t="shared" si="32"/>
        <v>0</v>
      </c>
      <c r="T42" s="5">
        <f t="shared" si="33"/>
        <v>0</v>
      </c>
    </row>
    <row r="43" spans="1:20" x14ac:dyDescent="0.25">
      <c r="A43" s="4" t="s">
        <v>27</v>
      </c>
      <c r="B43" s="37"/>
      <c r="C43" s="38"/>
      <c r="D43" s="46"/>
      <c r="E43" s="9"/>
      <c r="F43" s="9">
        <f t="shared" si="22"/>
        <v>0.23798553240740716</v>
      </c>
      <c r="G43" s="13">
        <v>0.79574999999999996</v>
      </c>
      <c r="H43" s="5">
        <f t="shared" si="23"/>
        <v>2.2977281249999999</v>
      </c>
      <c r="I43" s="14">
        <v>0.1025925925925926</v>
      </c>
      <c r="J43" s="5">
        <f t="shared" si="24"/>
        <v>2.5648148148148149</v>
      </c>
      <c r="K43" s="5">
        <f t="shared" si="25"/>
        <v>-4.6245574074074076</v>
      </c>
      <c r="L43" s="5">
        <f t="shared" si="26"/>
        <v>-1.5261039444444446</v>
      </c>
      <c r="M43" s="5">
        <f t="shared" si="27"/>
        <v>-3.0984534629629632</v>
      </c>
      <c r="N43" s="4"/>
      <c r="O43" s="5">
        <f t="shared" si="28"/>
        <v>0</v>
      </c>
      <c r="P43" s="5">
        <f t="shared" si="29"/>
        <v>0</v>
      </c>
      <c r="Q43" s="5">
        <f t="shared" si="30"/>
        <v>0</v>
      </c>
      <c r="R43" s="5">
        <f t="shared" si="31"/>
        <v>0</v>
      </c>
      <c r="S43" s="5">
        <f t="shared" si="32"/>
        <v>0</v>
      </c>
      <c r="T43" s="5">
        <f t="shared" si="33"/>
        <v>0</v>
      </c>
    </row>
    <row r="44" spans="1:20" x14ac:dyDescent="0.25">
      <c r="A44" s="4" t="s">
        <v>28</v>
      </c>
      <c r="B44" s="37"/>
      <c r="C44" s="38"/>
      <c r="D44" s="46"/>
      <c r="E44" s="9"/>
      <c r="F44" s="9">
        <f t="shared" si="22"/>
        <v>0.44357581018518522</v>
      </c>
      <c r="G44" s="13">
        <v>0.85075000000000001</v>
      </c>
      <c r="H44" s="5">
        <f t="shared" si="23"/>
        <v>2.4565406250000001</v>
      </c>
      <c r="I44" s="14">
        <v>0.12481481481481482</v>
      </c>
      <c r="J44" s="5">
        <f t="shared" si="24"/>
        <v>3.1203703703703707</v>
      </c>
      <c r="K44" s="5">
        <f t="shared" si="25"/>
        <v>-5.1333351851851852</v>
      </c>
      <c r="L44" s="5">
        <f t="shared" si="26"/>
        <v>-1.6940006111111112</v>
      </c>
      <c r="M44" s="5">
        <f t="shared" si="27"/>
        <v>-3.4393345740740742</v>
      </c>
      <c r="N44" s="4"/>
      <c r="O44" s="5">
        <f t="shared" si="28"/>
        <v>0</v>
      </c>
      <c r="P44" s="5">
        <f t="shared" si="29"/>
        <v>0</v>
      </c>
      <c r="Q44" s="5">
        <f t="shared" si="30"/>
        <v>0</v>
      </c>
      <c r="R44" s="5">
        <f t="shared" si="31"/>
        <v>0</v>
      </c>
      <c r="S44" s="5">
        <f t="shared" si="32"/>
        <v>0</v>
      </c>
      <c r="T44" s="5">
        <f t="shared" si="33"/>
        <v>0</v>
      </c>
    </row>
    <row r="45" spans="1:20" x14ac:dyDescent="0.25">
      <c r="A45" s="4" t="s">
        <v>29</v>
      </c>
      <c r="B45" s="37"/>
      <c r="C45" s="38"/>
      <c r="D45" s="46"/>
      <c r="E45" s="9"/>
      <c r="F45" s="9">
        <f t="shared" si="22"/>
        <v>0.44357581018518522</v>
      </c>
      <c r="G45" s="13">
        <v>0.85075000000000001</v>
      </c>
      <c r="H45" s="5">
        <f t="shared" si="23"/>
        <v>2.4565406250000001</v>
      </c>
      <c r="I45" s="14">
        <v>0.12481481481481482</v>
      </c>
      <c r="J45" s="5">
        <f t="shared" si="24"/>
        <v>3.1203703703703707</v>
      </c>
      <c r="K45" s="5">
        <f t="shared" si="25"/>
        <v>-5.1333351851851852</v>
      </c>
      <c r="L45" s="5">
        <f t="shared" si="26"/>
        <v>-1.6940006111111112</v>
      </c>
      <c r="M45" s="5">
        <f t="shared" si="27"/>
        <v>-3.4393345740740742</v>
      </c>
      <c r="N45" s="4"/>
      <c r="O45" s="5">
        <f t="shared" si="28"/>
        <v>0</v>
      </c>
      <c r="P45" s="5">
        <f t="shared" si="29"/>
        <v>0</v>
      </c>
      <c r="Q45" s="5">
        <f t="shared" si="30"/>
        <v>0</v>
      </c>
      <c r="R45" s="5">
        <f t="shared" si="31"/>
        <v>0</v>
      </c>
      <c r="S45" s="5">
        <f t="shared" si="32"/>
        <v>0</v>
      </c>
      <c r="T45" s="5">
        <f t="shared" si="33"/>
        <v>0</v>
      </c>
    </row>
    <row r="46" spans="1:20" x14ac:dyDescent="0.25">
      <c r="A46" s="4"/>
      <c r="B46" s="37"/>
      <c r="C46" s="38"/>
      <c r="D46" s="46"/>
      <c r="E46" s="9"/>
      <c r="F46" s="9"/>
      <c r="G46" s="4"/>
      <c r="H46" s="4"/>
      <c r="I46" s="4"/>
      <c r="J46" s="4"/>
      <c r="K46" s="4"/>
      <c r="L46" s="4"/>
      <c r="M46" s="4"/>
      <c r="N46" s="4"/>
      <c r="O46" s="4"/>
      <c r="P46" s="4"/>
      <c r="Q46" s="4"/>
      <c r="R46" s="4"/>
      <c r="S46" s="4"/>
      <c r="T46" s="4"/>
    </row>
    <row r="47" spans="1:20" x14ac:dyDescent="0.25">
      <c r="A47" s="12" t="s">
        <v>32</v>
      </c>
      <c r="B47" s="37"/>
      <c r="C47" s="38"/>
      <c r="D47" s="46"/>
      <c r="E47" s="9"/>
      <c r="F47" s="9"/>
      <c r="G47" s="4"/>
      <c r="H47" s="4"/>
      <c r="I47" s="4"/>
      <c r="J47" s="4"/>
      <c r="K47" s="4"/>
      <c r="L47" s="4"/>
      <c r="M47" s="4"/>
      <c r="N47" s="4"/>
      <c r="O47" s="4"/>
      <c r="P47" s="4"/>
      <c r="Q47" s="4"/>
      <c r="R47" s="4"/>
      <c r="S47" s="4"/>
      <c r="T47" s="4"/>
    </row>
    <row r="48" spans="1:20" x14ac:dyDescent="0.25">
      <c r="A48" s="4" t="s">
        <v>33</v>
      </c>
      <c r="B48" s="37"/>
      <c r="C48" s="38"/>
      <c r="D48" s="46"/>
      <c r="E48" s="9"/>
      <c r="F48" s="9">
        <f t="shared" ref="F48:F54" si="34">IF(D48&gt;0,D48,E48-(G48*B$2*1.05)+H48-I48*12.5+J48)</f>
        <v>-0.58242650462963041</v>
      </c>
      <c r="G48" s="13">
        <v>2.2497499999999997</v>
      </c>
      <c r="H48" s="5">
        <f t="shared" ref="H48:H54" si="35">G48*B$3*1.05</f>
        <v>6.4961531249999993</v>
      </c>
      <c r="I48" s="14">
        <v>0.18962962962962962</v>
      </c>
      <c r="J48" s="5">
        <f>I48*B$4*(1-B$7)+I48*B$6*(B$7)</f>
        <v>4.7407407407407405</v>
      </c>
      <c r="K48" s="5">
        <f t="shared" ref="K48:K55" si="36">F48-H48-J48</f>
        <v>-11.81932037037037</v>
      </c>
      <c r="L48" s="5">
        <f t="shared" ref="L48:L55" si="37">K48*B$12</f>
        <v>-3.9003757222222224</v>
      </c>
      <c r="M48" s="5">
        <f t="shared" ref="M48:M55" si="38">K48-L48</f>
        <v>-7.9189446481481482</v>
      </c>
      <c r="N48" s="4"/>
      <c r="O48" s="5">
        <f t="shared" ref="O48:O54" si="39">IF(O$14="Increase",IF(C48="y",0,IF($B48&gt;0,H48*$B48*(1+O$15),0)),IF(C48="y",0,IF($B48&gt;0,H48*$B48*(1-O$15),0)))</f>
        <v>0</v>
      </c>
      <c r="P48" s="5">
        <f t="shared" ref="P48:P54" si="40">IF(P$14="Increase",IF(C48="y",0,IF($B48&gt;0,(I48*B$4*(1-B$7))*$B48*(1+P$15),0)),IF(C48="y",0,IF($B48&gt;0,(I48*B$4*(1-B$7))*$B48*(1-P$15),0)))</f>
        <v>0</v>
      </c>
      <c r="Q48" s="5">
        <f t="shared" ref="Q48:Q54" si="41">IF(Q$14="Increase",IF(C48="y",0,IF($B48&gt;0,(I48*B$6*(B$7))*$B48*(1+Q$15),0)),IF(C48="y",0,IF($B48&gt;0,(I48*B$6*(B$7))*$B48*(1-Q$15),0)))</f>
        <v>0</v>
      </c>
      <c r="R48" s="5">
        <f t="shared" ref="R48:R54" si="42">IF(R$14="Increase",IF(C48="y",0,IF($B48&gt;0,L48*$B48*(1+R$15),0)),IF(C48="y",0,IF($B48&gt;0,L48*$B48*(1-R$15),0)))</f>
        <v>0</v>
      </c>
      <c r="S48" s="5">
        <f t="shared" ref="S48:S54" si="43">IF(S$14="Increase",IF(C48="y",0,IF($B48&gt;0,M48*$B48*(1+S$15),0)),IF(C48="y",0,IF($B48&gt;0,M48*$B48*(1-S$15),0)))</f>
        <v>0</v>
      </c>
      <c r="T48" s="5">
        <f t="shared" ref="T48:T54" si="44">IF(T$14="Increase",IF(C48="y",F48*B48*(1+T$15),0),IF(C48="y",F48*B48*(1-T$15),0))</f>
        <v>0</v>
      </c>
    </row>
    <row r="49" spans="1:21" x14ac:dyDescent="0.25">
      <c r="A49" s="4" t="s">
        <v>34</v>
      </c>
      <c r="B49" s="37">
        <v>1</v>
      </c>
      <c r="C49" s="38"/>
      <c r="D49" s="46"/>
      <c r="E49" s="9">
        <v>40.279576048218345</v>
      </c>
      <c r="F49" s="9">
        <f t="shared" si="34"/>
        <v>39.697149543588715</v>
      </c>
      <c r="G49" s="13">
        <v>2.2497499999999997</v>
      </c>
      <c r="H49" s="5">
        <f t="shared" si="35"/>
        <v>6.4961531249999993</v>
      </c>
      <c r="I49" s="14">
        <v>0.18962962962962962</v>
      </c>
      <c r="J49" s="5">
        <f>I49*B$4*(1-B$7)+I49*B$6*(B$7)</f>
        <v>4.7407407407407405</v>
      </c>
      <c r="K49" s="5">
        <f t="shared" si="36"/>
        <v>28.460255677847975</v>
      </c>
      <c r="L49" s="5">
        <f t="shared" si="37"/>
        <v>9.3918843736898321</v>
      </c>
      <c r="M49" s="5">
        <f t="shared" si="38"/>
        <v>19.068371304158141</v>
      </c>
      <c r="N49" s="4"/>
      <c r="O49" s="5">
        <f t="shared" si="39"/>
        <v>7.4705760937499983</v>
      </c>
      <c r="P49" s="5">
        <f t="shared" si="40"/>
        <v>5.4518518518518508</v>
      </c>
      <c r="Q49" s="5">
        <f t="shared" si="41"/>
        <v>0</v>
      </c>
      <c r="R49" s="5">
        <f t="shared" si="42"/>
        <v>10.800667029743305</v>
      </c>
      <c r="S49" s="5">
        <f t="shared" si="43"/>
        <v>21.928626999781862</v>
      </c>
      <c r="T49" s="5">
        <f t="shared" si="44"/>
        <v>0</v>
      </c>
    </row>
    <row r="50" spans="1:21" x14ac:dyDescent="0.25">
      <c r="A50" s="7"/>
      <c r="B50" s="37"/>
      <c r="C50" s="38"/>
      <c r="D50" s="46"/>
      <c r="E50" s="9"/>
      <c r="F50" s="9"/>
      <c r="G50" s="13"/>
      <c r="H50" s="5"/>
      <c r="I50" s="14"/>
      <c r="J50" s="5"/>
      <c r="K50" s="5"/>
      <c r="L50" s="5"/>
      <c r="M50" s="5"/>
      <c r="N50" s="4"/>
      <c r="O50" s="5"/>
      <c r="P50" s="5"/>
      <c r="Q50" s="5"/>
      <c r="R50" s="5"/>
      <c r="S50" s="5"/>
      <c r="T50" s="5"/>
    </row>
    <row r="51" spans="1:21" x14ac:dyDescent="0.25">
      <c r="A51" s="7"/>
      <c r="B51" s="37"/>
      <c r="C51" s="38"/>
      <c r="D51" s="46"/>
      <c r="E51" s="9"/>
      <c r="F51" s="9"/>
      <c r="G51" s="13"/>
      <c r="H51" s="5"/>
      <c r="I51" s="14"/>
      <c r="J51" s="5"/>
      <c r="K51" s="5"/>
      <c r="L51" s="5"/>
      <c r="M51" s="5"/>
      <c r="N51" s="4"/>
      <c r="O51" s="5"/>
      <c r="P51" s="5"/>
      <c r="Q51" s="5"/>
      <c r="R51" s="5"/>
      <c r="S51" s="5"/>
      <c r="T51" s="5"/>
    </row>
    <row r="52" spans="1:21" x14ac:dyDescent="0.25">
      <c r="A52" s="4" t="s">
        <v>35</v>
      </c>
      <c r="B52" s="37"/>
      <c r="C52" s="38"/>
      <c r="D52" s="46"/>
      <c r="E52" s="9"/>
      <c r="F52" s="9">
        <f t="shared" si="34"/>
        <v>-0.51113541666666595</v>
      </c>
      <c r="G52" s="13">
        <v>1.8815</v>
      </c>
      <c r="H52" s="5">
        <f t="shared" si="35"/>
        <v>5.4328312500000004</v>
      </c>
      <c r="I52" s="14">
        <v>0.15666666666666668</v>
      </c>
      <c r="J52" s="5">
        <f>I52*B$4*(1-B$7)+I52*B$6*(B$7)</f>
        <v>3.916666666666667</v>
      </c>
      <c r="K52" s="5">
        <f t="shared" si="36"/>
        <v>-9.8606333333333325</v>
      </c>
      <c r="L52" s="5">
        <f t="shared" si="37"/>
        <v>-3.2540089999999999</v>
      </c>
      <c r="M52" s="5">
        <f t="shared" si="38"/>
        <v>-6.6066243333333325</v>
      </c>
      <c r="N52" s="4"/>
      <c r="O52" s="5">
        <f t="shared" si="39"/>
        <v>0</v>
      </c>
      <c r="P52" s="5">
        <f t="shared" si="40"/>
        <v>0</v>
      </c>
      <c r="Q52" s="5">
        <f t="shared" si="41"/>
        <v>0</v>
      </c>
      <c r="R52" s="5">
        <f t="shared" si="42"/>
        <v>0</v>
      </c>
      <c r="S52" s="5">
        <f t="shared" si="43"/>
        <v>0</v>
      </c>
      <c r="T52" s="5">
        <f t="shared" si="44"/>
        <v>0</v>
      </c>
    </row>
    <row r="53" spans="1:21" x14ac:dyDescent="0.25">
      <c r="A53" s="4" t="s">
        <v>36</v>
      </c>
      <c r="B53" s="37"/>
      <c r="C53" s="38"/>
      <c r="D53" s="46"/>
      <c r="E53" s="9"/>
      <c r="F53" s="9">
        <f t="shared" si="34"/>
        <v>-0.3873443287037035</v>
      </c>
      <c r="G53" s="13">
        <v>1.4732500000000002</v>
      </c>
      <c r="H53" s="5">
        <f t="shared" si="35"/>
        <v>4.2540093750000008</v>
      </c>
      <c r="I53" s="14">
        <v>0.1237037037037037</v>
      </c>
      <c r="J53" s="5">
        <f>I53*B$4*(1-B$7)+I53*B$6*(B$7)</f>
        <v>3.0925925925925926</v>
      </c>
      <c r="K53" s="5">
        <f t="shared" si="36"/>
        <v>-7.7339462962962964</v>
      </c>
      <c r="L53" s="5">
        <f t="shared" si="37"/>
        <v>-2.552202277777778</v>
      </c>
      <c r="M53" s="5">
        <f t="shared" si="38"/>
        <v>-5.1817440185185184</v>
      </c>
      <c r="N53" s="4"/>
      <c r="O53" s="5">
        <f t="shared" si="39"/>
        <v>0</v>
      </c>
      <c r="P53" s="5">
        <f t="shared" si="40"/>
        <v>0</v>
      </c>
      <c r="Q53" s="5">
        <f t="shared" si="41"/>
        <v>0</v>
      </c>
      <c r="R53" s="5">
        <f t="shared" si="42"/>
        <v>0</v>
      </c>
      <c r="S53" s="5">
        <f t="shared" si="43"/>
        <v>0</v>
      </c>
      <c r="T53" s="5">
        <f t="shared" si="44"/>
        <v>0</v>
      </c>
    </row>
    <row r="54" spans="1:21" x14ac:dyDescent="0.25">
      <c r="A54" s="7" t="s">
        <v>55</v>
      </c>
      <c r="B54" s="40">
        <v>1</v>
      </c>
      <c r="C54" s="41"/>
      <c r="D54" s="47"/>
      <c r="E54" s="6">
        <v>6.4347418727055778</v>
      </c>
      <c r="F54" s="6">
        <f t="shared" si="34"/>
        <v>7.4747418727055779</v>
      </c>
      <c r="G54" s="18">
        <v>0.16</v>
      </c>
      <c r="H54" s="8">
        <f t="shared" si="35"/>
        <v>0.46200000000000002</v>
      </c>
      <c r="I54" s="19">
        <v>0.1</v>
      </c>
      <c r="J54" s="5">
        <f>I54*B$4*(1-B$7)+I54*B$6*(B$7)</f>
        <v>2.5</v>
      </c>
      <c r="K54" s="8">
        <f t="shared" si="36"/>
        <v>4.5127418727055781</v>
      </c>
      <c r="L54" s="8">
        <f t="shared" si="37"/>
        <v>1.4892048179928408</v>
      </c>
      <c r="M54" s="8">
        <f t="shared" si="38"/>
        <v>3.0235370547127376</v>
      </c>
      <c r="N54" s="7"/>
      <c r="O54" s="8">
        <f t="shared" si="39"/>
        <v>0.53129999999999999</v>
      </c>
      <c r="P54" s="8">
        <f t="shared" si="40"/>
        <v>2.875</v>
      </c>
      <c r="Q54" s="8">
        <f t="shared" si="41"/>
        <v>0</v>
      </c>
      <c r="R54" s="8">
        <f t="shared" si="42"/>
        <v>1.7125855406917667</v>
      </c>
      <c r="S54" s="8">
        <f t="shared" si="43"/>
        <v>3.4770676129196478</v>
      </c>
      <c r="T54" s="8">
        <f t="shared" si="44"/>
        <v>0</v>
      </c>
      <c r="U54" s="2"/>
    </row>
    <row r="55" spans="1:21" x14ac:dyDescent="0.25">
      <c r="A55" s="179" t="s">
        <v>112</v>
      </c>
      <c r="B55" s="125"/>
      <c r="C55" s="41"/>
      <c r="D55" s="47"/>
      <c r="E55" s="6"/>
      <c r="F55" s="6">
        <f>IF(D55&gt;0,D55,Trucking!H25*'Conv. Tillage Corn'!D5)</f>
        <v>58.325111047075254</v>
      </c>
      <c r="G55" s="18">
        <f>(('Conv. Tillage Corn'!D5*Trucking!B25*2)*(1+Trucking!C4))/(Trucking!C3*Trucking!C2)</f>
        <v>4.8355263157894735</v>
      </c>
      <c r="H55" s="8">
        <f>G55*Trucking!C9</f>
        <v>14.845065789473683</v>
      </c>
      <c r="I55" s="19">
        <f>'Conv. Tillage Corn'!D5*((((B8*2)/Trucking!C7) + (Trucking!C5/60)))/Trucking!C2</f>
        <v>0.79824561403508787</v>
      </c>
      <c r="J55" s="5">
        <f>I55*B$4*(1-B$7)+I55*B$6*(B$7)</f>
        <v>19.956140350877195</v>
      </c>
      <c r="K55" s="8">
        <f t="shared" si="36"/>
        <v>23.523904906724379</v>
      </c>
      <c r="L55" s="8">
        <f t="shared" si="37"/>
        <v>7.7628886192190452</v>
      </c>
      <c r="M55" s="8">
        <f t="shared" si="38"/>
        <v>15.761016287505335</v>
      </c>
      <c r="N55" s="7"/>
      <c r="O55" s="8">
        <f>IF(O$14="Increase",IF(C55="y",0,IF($B8&gt;0,H55*(1+O$15),0)),IF(C55="y",0,IF($B8&gt;0,H55*(1-O$15),0)))</f>
        <v>17.071825657894735</v>
      </c>
      <c r="P55" s="8">
        <f>IF(P$14="Increase",IF(C55="y",0,IF($B8&gt;0,(I55*B$4*(1-B$7)*(1+P$15)),0)),IF(C55="y",0,IF($B8&gt;0,(I55*B$4*(1-B$7)*(1-P$15)),0)))</f>
        <v>22.949561403508774</v>
      </c>
      <c r="Q55" s="8">
        <f>IF(Q$14="Increase",IF(C55="y",0,IF($B8&gt;0,(I55*B$6*(B$7)*(1+Q$15)),0)),IF(C55="y",0,IF($B8&gt;0,(I55*B$6*(B$7)*(1-Q$15)),0)))</f>
        <v>0</v>
      </c>
      <c r="R55" s="8">
        <f>IF(R$14="Increase",IF(C55="y",0,IF($B8&gt;0,L55*(1+R$15),0)),IF(C55="y",0,IF($B8&gt;0,L55*(1-R$15),0)))</f>
        <v>8.9273219121019007</v>
      </c>
      <c r="S55" s="8">
        <f>IF(S$14="Increase",IF(C55="y",0,IF($B8&gt;0,M55*(1+S$15),0)),IF(C55="y",0,IF($B8&gt;0,M55*(1-S$15),0)))</f>
        <v>18.125168730631135</v>
      </c>
      <c r="T55" s="8">
        <f>IF(T$14="Increase",IF(C55="y",F55*(1+T$15),0),IF(C55="y",F55*(1-T$15),0))</f>
        <v>0</v>
      </c>
    </row>
    <row r="56" spans="1:21" x14ac:dyDescent="0.25">
      <c r="A56" s="4"/>
      <c r="B56" s="37"/>
      <c r="C56" s="38"/>
      <c r="D56" s="46"/>
      <c r="E56" s="9"/>
      <c r="F56" s="9"/>
      <c r="G56" s="4"/>
      <c r="H56" s="4"/>
      <c r="I56" s="4"/>
      <c r="J56" s="4"/>
      <c r="K56" s="4"/>
      <c r="L56" s="4"/>
      <c r="M56" s="4"/>
      <c r="N56" s="4"/>
      <c r="O56" s="4"/>
      <c r="P56" s="4"/>
      <c r="Q56" s="4"/>
      <c r="R56" s="4"/>
      <c r="S56" s="4"/>
      <c r="T56" s="4"/>
    </row>
    <row r="57" spans="1:21" x14ac:dyDescent="0.25">
      <c r="A57" s="12" t="s">
        <v>37</v>
      </c>
      <c r="B57" s="37"/>
      <c r="C57" s="38"/>
      <c r="D57" s="46"/>
      <c r="E57" s="9"/>
      <c r="F57" s="9"/>
      <c r="G57" s="4"/>
      <c r="H57" s="4"/>
      <c r="I57" s="4"/>
      <c r="J57" s="4"/>
      <c r="K57" s="4"/>
      <c r="L57" s="4"/>
      <c r="M57" s="4"/>
      <c r="N57" s="4"/>
      <c r="O57" s="4"/>
      <c r="P57" s="4"/>
      <c r="Q57" s="4"/>
      <c r="R57" s="4"/>
      <c r="S57" s="4"/>
      <c r="T57" s="4"/>
    </row>
    <row r="58" spans="1:21" x14ac:dyDescent="0.25">
      <c r="A58" s="4" t="s">
        <v>38</v>
      </c>
      <c r="B58" s="37"/>
      <c r="C58" s="38"/>
      <c r="D58" s="46"/>
      <c r="E58" s="9"/>
      <c r="F58" s="9">
        <f>IF(D58&gt;0,D58,E58-(G58*B$2*1.05)+H58-I58*12.5+J58)</f>
        <v>0.74299137205387389</v>
      </c>
      <c r="G58" s="13">
        <v>4.7649999999999997</v>
      </c>
      <c r="H58" s="5">
        <f>G58*B$3*1.05</f>
        <v>13.7589375</v>
      </c>
      <c r="I58" s="14">
        <v>0.55976430976430969</v>
      </c>
      <c r="J58" s="5">
        <f>I58*B$4*(1-B$7)+I58*B$6*(B$7)</f>
        <v>13.994107744107742</v>
      </c>
      <c r="K58" s="5">
        <f>F58-H58-J58</f>
        <v>-27.010053872053867</v>
      </c>
      <c r="L58" s="5">
        <f>K58*B$12</f>
        <v>-8.9133177777777757</v>
      </c>
      <c r="M58" s="5">
        <f>K58-L58</f>
        <v>-18.096736094276089</v>
      </c>
      <c r="N58" s="4"/>
      <c r="O58" s="5">
        <f>IF(O$14="Increase",IF(C58="y",0,IF($B58&gt;0,H58*$B58*(1+O$15),0)),IF(C58="y",0,IF($B58&gt;0,H58*$B58*(1-O$15),0)))</f>
        <v>0</v>
      </c>
      <c r="P58" s="5">
        <f>IF(P$14="Increase",IF(C58="y",0,IF($B58&gt;0,(I58*B$4*(1-B$7))*$B58*(1+P$15),0)),IF(C58="y",0,IF($B58&gt;0,(I58*B$4*(1-B$7))*$B58*(1-P$15),0)))</f>
        <v>0</v>
      </c>
      <c r="Q58" s="5">
        <f>IF(Q$14="Increase",IF(C58="y",0,IF($B58&gt;0,(I58*B$6*(B$7))*$B58*(1+Q$15),0)),IF(C58="y",0,IF($B58&gt;0,(I58*B$6*(B$7))*$B58*(1-Q$15),0)))</f>
        <v>0</v>
      </c>
      <c r="R58" s="5">
        <f>IF(R$14="Increase",IF(C58="y",0,IF($B58&gt;0,L58*$B58*(1+R$15),0)),IF(C58="y",0,IF($B58&gt;0,L58*$B58*(1-R$15),0)))</f>
        <v>0</v>
      </c>
      <c r="S58" s="5">
        <f>IF(S$14="Increase",IF(C58="y",0,IF($B58&gt;0,M58*$B58*(1+S$15),0)),IF(C58="y",0,IF($B58&gt;0,M58*$B58*(1-S$15),0)))</f>
        <v>0</v>
      </c>
      <c r="T58" s="5">
        <f>IF(T$14="Increase",IF(C58="y",F58*B58*(1+T$15),0),IF(C58="y",F58*B58*(1-T$15),0))</f>
        <v>0</v>
      </c>
    </row>
    <row r="59" spans="1:21" x14ac:dyDescent="0.25">
      <c r="A59" s="4" t="s">
        <v>25</v>
      </c>
      <c r="B59" s="37"/>
      <c r="C59" s="38"/>
      <c r="D59" s="46"/>
      <c r="E59" s="15"/>
      <c r="F59" s="9">
        <f>IF(D59&gt;0,D59,E59-(G59*B$2*1.05)+H59-I59*12.5+J59)</f>
        <v>0.68035216750841876</v>
      </c>
      <c r="G59" s="13">
        <v>3.7044999999999999</v>
      </c>
      <c r="H59" s="5">
        <f>G59*B$3*1.05</f>
        <v>10.69674375</v>
      </c>
      <c r="I59" s="14">
        <v>0.44340067340067341</v>
      </c>
      <c r="J59" s="5">
        <f>I59*B$4*(1-B$7)+I59*B$6*(B$7)</f>
        <v>11.085016835016836</v>
      </c>
      <c r="K59" s="5">
        <f>F59-H59-J59</f>
        <v>-21.101408417508416</v>
      </c>
      <c r="L59" s="5">
        <f>K59*B$12</f>
        <v>-6.9634647777777774</v>
      </c>
      <c r="M59" s="5">
        <f>K59-L59</f>
        <v>-14.13794363973064</v>
      </c>
      <c r="N59" s="4"/>
      <c r="O59" s="5">
        <f>IF(O$14="Increase",IF(C59="y",0,IF($B59&gt;0,H59*$B59*(1+O$15),0)),IF(C59="y",0,IF($B59&gt;0,H59*$B59*(1-O$15),0)))</f>
        <v>0</v>
      </c>
      <c r="P59" s="5">
        <f>IF(P$14="Increase",IF(C59="y",0,IF($B59&gt;0,(I59*B$4*(1-B$7))*$B59*(1+P$15),0)),IF(C59="y",0,IF($B59&gt;0,(I59*B$4*(1-B$7))*$B59*(1-P$15),0)))</f>
        <v>0</v>
      </c>
      <c r="Q59" s="5">
        <f>IF(Q$14="Increase",IF(C59="y",0,IF($B59&gt;0,(I59*B$6*(B$7))*$B59*(1+Q$15),0)),IF(C59="y",0,IF($B59&gt;0,(I59*B$6*(B$7))*$B59*(1-Q$15),0)))</f>
        <v>0</v>
      </c>
      <c r="R59" s="5">
        <f>IF(R$14="Increase",IF(C59="y",0,IF($B59&gt;0,L59*$B59*(1+R$15),0)),IF(C59="y",0,IF($B59&gt;0,L59*$B59*(1-R$15),0)))</f>
        <v>0</v>
      </c>
      <c r="S59" s="5">
        <f>IF(S$14="Increase",IF(C59="y",0,IF($B59&gt;0,M59*$B59*(1+S$15),0)),IF(C59="y",0,IF($B59&gt;0,M59*$B59*(1-S$15),0)))</f>
        <v>0</v>
      </c>
      <c r="T59" s="5">
        <f>IF(T$14="Increase",IF(C59="y",F59*B59*(1+T$15),0),IF(C59="y",F59*B59*(1-T$15),0))</f>
        <v>0</v>
      </c>
    </row>
    <row r="60" spans="1:21" x14ac:dyDescent="0.25">
      <c r="A60" s="4" t="s">
        <v>39</v>
      </c>
      <c r="B60" s="37"/>
      <c r="C60" s="38"/>
      <c r="D60" s="46"/>
      <c r="E60" s="15"/>
      <c r="F60" s="9">
        <f>IF(D60&gt;0,D60,E60-(G60*B$2*1.05)+H60-I60*12.5+J60)</f>
        <v>0.59994765361952673</v>
      </c>
      <c r="G60" s="13">
        <v>3.1837499999999999</v>
      </c>
      <c r="H60" s="5">
        <f>G60*B$3*1.05</f>
        <v>9.1930781249999995</v>
      </c>
      <c r="I60" s="14">
        <v>0.38228956228956223</v>
      </c>
      <c r="J60" s="5">
        <f>I60*B$4*(1-B$7)+I60*B$6*(B$7)</f>
        <v>9.5572390572390553</v>
      </c>
      <c r="K60" s="5">
        <f>F60-H60-J60</f>
        <v>-18.150369528619528</v>
      </c>
      <c r="L60" s="5">
        <f>K60*B$12</f>
        <v>-5.989621944444445</v>
      </c>
      <c r="M60" s="5">
        <f>K60-L60</f>
        <v>-12.160747584175084</v>
      </c>
      <c r="N60" s="4"/>
      <c r="O60" s="5">
        <f>IF(O$14="Increase",IF(C60="y",0,IF($B60&gt;0,H60*$B60*(1+O$15),0)),IF(C60="y",0,IF($B60&gt;0,H60*$B60*(1-O$15),0)))</f>
        <v>0</v>
      </c>
      <c r="P60" s="5">
        <f>IF(P$14="Increase",IF(C60="y",0,IF($B60&gt;0,(I60*B$4*(1-B$7))*$B60*(1+P$15),0)),IF(C60="y",0,IF($B60&gt;0,(I60*B$4*(1-B$7))*$B60*(1-P$15),0)))</f>
        <v>0</v>
      </c>
      <c r="Q60" s="5">
        <f>IF(Q$14="Increase",IF(C60="y",0,IF($B60&gt;0,(I60*B$6*(B$7))*$B60*(1+Q$15),0)),IF(C60="y",0,IF($B60&gt;0,(I60*B$6*(B$7))*$B60*(1-Q$15),0)))</f>
        <v>0</v>
      </c>
      <c r="R60" s="5">
        <f>IF(R$14="Increase",IF(C60="y",0,IF($B60&gt;0,L60*$B60*(1+R$15),0)),IF(C60="y",0,IF($B60&gt;0,L60*$B60*(1-R$15),0)))</f>
        <v>0</v>
      </c>
      <c r="S60" s="5">
        <f>IF(S$14="Increase",IF(C60="y",0,IF($B60&gt;0,M60*$B60*(1+S$15),0)),IF(C60="y",0,IF($B60&gt;0,M60*$B60*(1-S$15),0)))</f>
        <v>0</v>
      </c>
      <c r="T60" s="5">
        <f>IF(T$14="Increase",IF(C60="y",F60*B60*(1+T$15),0),IF(C60="y",F60*B60*(1-T$15),0))</f>
        <v>0</v>
      </c>
    </row>
    <row r="61" spans="1:21" x14ac:dyDescent="0.25">
      <c r="A61" s="4"/>
      <c r="B61" s="37"/>
      <c r="C61" s="38"/>
      <c r="D61" s="46"/>
      <c r="E61" s="9"/>
      <c r="F61" s="9"/>
      <c r="G61" s="4"/>
      <c r="H61" s="4"/>
      <c r="I61" s="4"/>
      <c r="J61" s="4"/>
      <c r="K61" s="4"/>
      <c r="L61" s="4"/>
      <c r="M61" s="4"/>
      <c r="N61" s="4"/>
      <c r="O61" s="4"/>
      <c r="P61" s="4"/>
      <c r="Q61" s="4"/>
      <c r="R61" s="4"/>
      <c r="S61" s="4"/>
      <c r="T61" s="4"/>
    </row>
    <row r="62" spans="1:21" x14ac:dyDescent="0.25">
      <c r="A62" s="12" t="s">
        <v>40</v>
      </c>
      <c r="B62" s="37"/>
      <c r="C62" s="38"/>
      <c r="D62" s="46"/>
      <c r="E62" s="9"/>
      <c r="F62" s="9"/>
      <c r="G62" s="4"/>
      <c r="H62" s="4"/>
      <c r="I62" s="4"/>
      <c r="J62" s="4"/>
      <c r="K62" s="4"/>
      <c r="L62" s="4"/>
      <c r="M62" s="4"/>
      <c r="N62" s="4"/>
      <c r="O62" s="4"/>
      <c r="P62" s="4"/>
      <c r="Q62" s="4"/>
      <c r="R62" s="4"/>
      <c r="S62" s="4"/>
      <c r="T62" s="4"/>
    </row>
    <row r="63" spans="1:21" x14ac:dyDescent="0.25">
      <c r="A63" s="4" t="s">
        <v>41</v>
      </c>
      <c r="B63" s="37">
        <v>1.5</v>
      </c>
      <c r="C63" s="38"/>
      <c r="D63" s="46"/>
      <c r="E63" s="9">
        <v>7.5277551208323636</v>
      </c>
      <c r="F63" s="9">
        <f t="shared" ref="F63:F69" si="45">IF(D63&gt;0,D63,E63-(G63*B$2*1.05)+H63-I63*12.5+J63)</f>
        <v>7.5906019259017574</v>
      </c>
      <c r="G63" s="13">
        <v>0.3248383916323731</v>
      </c>
      <c r="H63" s="5">
        <f t="shared" ref="H63:H69" si="46">G63*B$3*1.05</f>
        <v>0.93797085583847739</v>
      </c>
      <c r="I63" s="14">
        <v>3.9135775526950654E-2</v>
      </c>
      <c r="J63" s="5">
        <f t="shared" ref="J63:J69" si="47">I63*B$4*(1-B$7)+I63*B$6*(B$7)</f>
        <v>0.97839438817376634</v>
      </c>
      <c r="K63" s="5">
        <f t="shared" ref="K63:K69" si="48">F63-H63-J63</f>
        <v>5.6742366818895134</v>
      </c>
      <c r="L63" s="5">
        <f t="shared" ref="L63:L69" si="49">K63*B$12</f>
        <v>1.8724981050235394</v>
      </c>
      <c r="M63" s="5">
        <f t="shared" ref="M63:M69" si="50">K63-L63</f>
        <v>3.8017385768659739</v>
      </c>
      <c r="N63" s="4"/>
      <c r="O63" s="5">
        <f t="shared" ref="O63:O69" si="51">IF(O$14="Increase",IF(C63="y",0,IF($B63&gt;0,H63*$B63*(1+O$15),0)),IF(C63="y",0,IF($B63&gt;0,H63*$B63*(1-O$15),0)))</f>
        <v>1.6179997263213735</v>
      </c>
      <c r="P63" s="5">
        <f t="shared" ref="P63:P69" si="52">IF(P$14="Increase",IF(C63="y",0,IF($B63&gt;0,(I63*B$4*(1-B$7))*$B63*(1+P$15),0)),IF(C63="y",0,IF($B63&gt;0,(I63*B$4*(1-B$7))*$B63*(1-P$15),0)))</f>
        <v>1.6877303195997468</v>
      </c>
      <c r="Q63" s="5">
        <f t="shared" ref="Q63:Q69" si="53">IF(Q$14="Increase",IF(C63="y",0,IF($B63&gt;0,(I63*B$6*(B$7))*$B63*(1+Q$15),0)),IF(C63="y",0,IF($B63&gt;0,(I63*B$6*(B$7))*$B63*(1-Q$15),0)))</f>
        <v>0</v>
      </c>
      <c r="R63" s="5">
        <f t="shared" ref="R63:R69" si="54">IF(R$14="Increase",IF(C63="y",0,IF($B63&gt;0,L63*$B63*(1+R$15),0)),IF(C63="y",0,IF($B63&gt;0,L63*$B63*(1-R$15),0)))</f>
        <v>3.2300592311656051</v>
      </c>
      <c r="S63" s="5">
        <f t="shared" ref="S63:S69" si="55">IF(S$14="Increase",IF(C63="y",0,IF($B63&gt;0,M63*$B63*(1+S$15),0)),IF(C63="y",0,IF($B63&gt;0,M63*$B63*(1-S$15),0)))</f>
        <v>6.5579990450938048</v>
      </c>
      <c r="T63" s="5">
        <f t="shared" ref="T63:T69" si="56">IF(T$14="Increase",IF(C63="y",F63*B63*(1+T$15),0),IF(C63="y",F63*B63*(1-T$15),0))</f>
        <v>0</v>
      </c>
    </row>
    <row r="64" spans="1:21" x14ac:dyDescent="0.25">
      <c r="A64" s="4" t="s">
        <v>42</v>
      </c>
      <c r="B64" s="37"/>
      <c r="C64" s="38"/>
      <c r="D64" s="46"/>
      <c r="E64" s="9"/>
      <c r="F64" s="9">
        <f t="shared" si="45"/>
        <v>8.0223449101978206E-2</v>
      </c>
      <c r="G64" s="13">
        <v>0.41465363511659803</v>
      </c>
      <c r="H64" s="5">
        <f t="shared" si="46"/>
        <v>1.1973123713991767</v>
      </c>
      <c r="I64" s="14">
        <v>4.9956507615401075E-2</v>
      </c>
      <c r="J64" s="5">
        <f t="shared" si="47"/>
        <v>1.2489126903850269</v>
      </c>
      <c r="K64" s="5">
        <f t="shared" si="48"/>
        <v>-2.3660016126822256</v>
      </c>
      <c r="L64" s="5">
        <f t="shared" si="49"/>
        <v>-0.78078053218513455</v>
      </c>
      <c r="M64" s="5">
        <f t="shared" si="50"/>
        <v>-1.585221080497091</v>
      </c>
      <c r="N64" s="4"/>
      <c r="O64" s="5">
        <f t="shared" si="51"/>
        <v>0</v>
      </c>
      <c r="P64" s="5">
        <f t="shared" si="52"/>
        <v>0</v>
      </c>
      <c r="Q64" s="5">
        <f t="shared" si="53"/>
        <v>0</v>
      </c>
      <c r="R64" s="5">
        <f t="shared" si="54"/>
        <v>0</v>
      </c>
      <c r="S64" s="5">
        <f t="shared" si="55"/>
        <v>0</v>
      </c>
      <c r="T64" s="5">
        <f t="shared" si="56"/>
        <v>0</v>
      </c>
    </row>
    <row r="65" spans="1:20" x14ac:dyDescent="0.25">
      <c r="A65" s="4" t="s">
        <v>43</v>
      </c>
      <c r="B65" s="37"/>
      <c r="C65" s="38"/>
      <c r="D65" s="46"/>
      <c r="E65" s="9"/>
      <c r="F65" s="9">
        <f t="shared" si="45"/>
        <v>0.13299129030518841</v>
      </c>
      <c r="G65" s="13">
        <v>0.68739654778235015</v>
      </c>
      <c r="H65" s="5">
        <f t="shared" si="46"/>
        <v>1.9848575317215362</v>
      </c>
      <c r="I65" s="14">
        <v>8.281594074156183E-2</v>
      </c>
      <c r="J65" s="5">
        <f t="shared" si="47"/>
        <v>2.0703985185390459</v>
      </c>
      <c r="K65" s="5">
        <f t="shared" si="48"/>
        <v>-3.9222647599553939</v>
      </c>
      <c r="L65" s="5">
        <f t="shared" si="49"/>
        <v>-1.2943473707852799</v>
      </c>
      <c r="M65" s="5">
        <f t="shared" si="50"/>
        <v>-2.627917389170114</v>
      </c>
      <c r="N65" s="4"/>
      <c r="O65" s="5">
        <f t="shared" si="51"/>
        <v>0</v>
      </c>
      <c r="P65" s="5">
        <f t="shared" si="52"/>
        <v>0</v>
      </c>
      <c r="Q65" s="5">
        <f t="shared" si="53"/>
        <v>0</v>
      </c>
      <c r="R65" s="5">
        <f t="shared" si="54"/>
        <v>0</v>
      </c>
      <c r="S65" s="5">
        <f t="shared" si="55"/>
        <v>0</v>
      </c>
      <c r="T65" s="5">
        <f t="shared" si="56"/>
        <v>0</v>
      </c>
    </row>
    <row r="66" spans="1:20" x14ac:dyDescent="0.25">
      <c r="A66" s="4" t="s">
        <v>44</v>
      </c>
      <c r="B66" s="37"/>
      <c r="C66" s="38"/>
      <c r="D66" s="46"/>
      <c r="E66" s="9"/>
      <c r="F66" s="9">
        <f t="shared" si="45"/>
        <v>7.673281047693048E-2</v>
      </c>
      <c r="G66" s="13">
        <v>0.39661145404663922</v>
      </c>
      <c r="H66" s="5">
        <f t="shared" si="46"/>
        <v>1.1452155735596707</v>
      </c>
      <c r="I66" s="14">
        <v>4.778282751305156E-2</v>
      </c>
      <c r="J66" s="5">
        <f t="shared" si="47"/>
        <v>1.1945706878262889</v>
      </c>
      <c r="K66" s="5">
        <f t="shared" si="48"/>
        <v>-2.2630534509090294</v>
      </c>
      <c r="L66" s="5">
        <f t="shared" si="49"/>
        <v>-0.7468076387999798</v>
      </c>
      <c r="M66" s="5">
        <f t="shared" si="50"/>
        <v>-1.5162458121090496</v>
      </c>
      <c r="N66" s="4"/>
      <c r="O66" s="5">
        <f t="shared" si="51"/>
        <v>0</v>
      </c>
      <c r="P66" s="5">
        <f t="shared" si="52"/>
        <v>0</v>
      </c>
      <c r="Q66" s="5">
        <f t="shared" si="53"/>
        <v>0</v>
      </c>
      <c r="R66" s="5">
        <f t="shared" si="54"/>
        <v>0</v>
      </c>
      <c r="S66" s="5">
        <f t="shared" si="55"/>
        <v>0</v>
      </c>
      <c r="T66" s="5">
        <f t="shared" si="56"/>
        <v>0</v>
      </c>
    </row>
    <row r="67" spans="1:20" x14ac:dyDescent="0.25">
      <c r="A67" s="4" t="s">
        <v>45</v>
      </c>
      <c r="B67" s="37">
        <v>0</v>
      </c>
      <c r="C67" s="38"/>
      <c r="D67" s="46"/>
      <c r="E67" s="9">
        <v>16.297390564231826</v>
      </c>
      <c r="F67" s="9">
        <f t="shared" si="45"/>
        <v>16.431320856740243</v>
      </c>
      <c r="G67" s="13">
        <v>0.69225000000000003</v>
      </c>
      <c r="H67" s="5">
        <f t="shared" si="46"/>
        <v>1.9988718750000003</v>
      </c>
      <c r="I67" s="14">
        <v>8.3400673400673392E-2</v>
      </c>
      <c r="J67" s="5">
        <f t="shared" si="47"/>
        <v>2.0850168350168348</v>
      </c>
      <c r="K67" s="5">
        <f t="shared" si="48"/>
        <v>12.347432146723406</v>
      </c>
      <c r="L67" s="5">
        <f t="shared" si="49"/>
        <v>4.0746526084187247</v>
      </c>
      <c r="M67" s="5">
        <f t="shared" si="50"/>
        <v>8.2727795383046825</v>
      </c>
      <c r="N67" s="4"/>
      <c r="O67" s="5">
        <f t="shared" si="51"/>
        <v>0</v>
      </c>
      <c r="P67" s="5">
        <f t="shared" si="52"/>
        <v>0</v>
      </c>
      <c r="Q67" s="5">
        <f t="shared" si="53"/>
        <v>0</v>
      </c>
      <c r="R67" s="5">
        <f t="shared" si="54"/>
        <v>0</v>
      </c>
      <c r="S67" s="5">
        <f t="shared" si="55"/>
        <v>0</v>
      </c>
      <c r="T67" s="5">
        <f t="shared" si="56"/>
        <v>0</v>
      </c>
    </row>
    <row r="68" spans="1:20" x14ac:dyDescent="0.25">
      <c r="A68" s="4" t="s">
        <v>46</v>
      </c>
      <c r="B68" s="37"/>
      <c r="C68" s="38"/>
      <c r="D68" s="46"/>
      <c r="E68" s="9"/>
      <c r="F68" s="9">
        <f t="shared" si="45"/>
        <v>8.6117729236379503E-2</v>
      </c>
      <c r="G68" s="13">
        <v>0.44511959876543206</v>
      </c>
      <c r="H68" s="5">
        <f t="shared" si="46"/>
        <v>1.2852828414351851</v>
      </c>
      <c r="I68" s="14">
        <v>5.3626976209280725E-2</v>
      </c>
      <c r="J68" s="5">
        <f t="shared" si="47"/>
        <v>1.3406744052320181</v>
      </c>
      <c r="K68" s="5">
        <f t="shared" si="48"/>
        <v>-2.5398395174308237</v>
      </c>
      <c r="L68" s="5">
        <f t="shared" si="49"/>
        <v>-0.83814704075217183</v>
      </c>
      <c r="M68" s="5">
        <f t="shared" si="50"/>
        <v>-1.7016924766786519</v>
      </c>
      <c r="N68" s="4"/>
      <c r="O68" s="5">
        <f t="shared" si="51"/>
        <v>0</v>
      </c>
      <c r="P68" s="5">
        <f t="shared" si="52"/>
        <v>0</v>
      </c>
      <c r="Q68" s="5">
        <f t="shared" si="53"/>
        <v>0</v>
      </c>
      <c r="R68" s="5">
        <f t="shared" si="54"/>
        <v>0</v>
      </c>
      <c r="S68" s="5">
        <f t="shared" si="55"/>
        <v>0</v>
      </c>
      <c r="T68" s="5">
        <f t="shared" si="56"/>
        <v>0</v>
      </c>
    </row>
    <row r="69" spans="1:20" x14ac:dyDescent="0.25">
      <c r="A69" s="4" t="s">
        <v>47</v>
      </c>
      <c r="B69" s="37"/>
      <c r="C69" s="38"/>
      <c r="D69" s="46"/>
      <c r="E69" s="9"/>
      <c r="F69" s="9">
        <f t="shared" si="45"/>
        <v>0.2151029503593116</v>
      </c>
      <c r="G69" s="13">
        <v>1.1118098422496572</v>
      </c>
      <c r="H69" s="5">
        <f t="shared" si="46"/>
        <v>3.2103509194958852</v>
      </c>
      <c r="I69" s="14">
        <v>0.13394826946495897</v>
      </c>
      <c r="J69" s="5">
        <f t="shared" si="47"/>
        <v>3.3487067366239742</v>
      </c>
      <c r="K69" s="5">
        <f t="shared" si="48"/>
        <v>-6.3439547057605479</v>
      </c>
      <c r="L69" s="5">
        <f t="shared" si="49"/>
        <v>-2.0935050529009809</v>
      </c>
      <c r="M69" s="5">
        <f t="shared" si="50"/>
        <v>-4.250449652859567</v>
      </c>
      <c r="N69" s="4"/>
      <c r="O69" s="5">
        <f t="shared" si="51"/>
        <v>0</v>
      </c>
      <c r="P69" s="5">
        <f t="shared" si="52"/>
        <v>0</v>
      </c>
      <c r="Q69" s="5">
        <f t="shared" si="53"/>
        <v>0</v>
      </c>
      <c r="R69" s="5">
        <f t="shared" si="54"/>
        <v>0</v>
      </c>
      <c r="S69" s="5">
        <f t="shared" si="55"/>
        <v>0</v>
      </c>
      <c r="T69" s="5">
        <f t="shared" si="56"/>
        <v>0</v>
      </c>
    </row>
    <row r="70" spans="1:20" x14ac:dyDescent="0.25">
      <c r="A70" s="4"/>
      <c r="B70" s="37"/>
      <c r="C70" s="38"/>
      <c r="D70" s="46"/>
      <c r="E70" s="9"/>
      <c r="F70" s="9"/>
      <c r="G70" s="4"/>
      <c r="H70" s="4"/>
      <c r="I70" s="4"/>
      <c r="J70" s="4"/>
      <c r="K70" s="4"/>
      <c r="L70" s="4"/>
      <c r="M70" s="4"/>
      <c r="N70" s="4"/>
      <c r="O70" s="4"/>
      <c r="P70" s="4"/>
      <c r="Q70" s="4"/>
      <c r="R70" s="4"/>
      <c r="S70" s="4"/>
      <c r="T70" s="4"/>
    </row>
    <row r="71" spans="1:20" x14ac:dyDescent="0.25">
      <c r="A71" s="12" t="s">
        <v>48</v>
      </c>
      <c r="B71" s="37"/>
      <c r="C71" s="38"/>
      <c r="D71" s="46"/>
      <c r="E71" s="9"/>
      <c r="F71" s="9"/>
      <c r="G71" s="4"/>
      <c r="H71" s="4"/>
      <c r="I71" s="4"/>
      <c r="J71" s="4"/>
      <c r="K71" s="4"/>
      <c r="L71" s="4"/>
      <c r="M71" s="4"/>
      <c r="N71" s="4"/>
      <c r="O71" s="4"/>
      <c r="P71" s="4"/>
      <c r="Q71" s="4"/>
      <c r="R71" s="4"/>
      <c r="S71" s="4"/>
      <c r="T71" s="4"/>
    </row>
    <row r="72" spans="1:20" x14ac:dyDescent="0.25">
      <c r="A72" s="4" t="s">
        <v>49</v>
      </c>
      <c r="B72" s="37">
        <v>2</v>
      </c>
      <c r="C72" s="38"/>
      <c r="D72" s="46"/>
      <c r="E72" s="9">
        <v>8.5532319481546608</v>
      </c>
      <c r="F72" s="9">
        <f>IF(D72&gt;0,D72,E72-(G72*B$2*1.05)+H72-I72*12.5+J72)</f>
        <v>8.7730288231546609</v>
      </c>
      <c r="G72" s="13">
        <v>0.11825000000000001</v>
      </c>
      <c r="H72" s="5">
        <f>G72*B$3*1.05</f>
        <v>0.34144687500000004</v>
      </c>
      <c r="I72" s="14">
        <v>0.03</v>
      </c>
      <c r="J72" s="5">
        <f>I72*B$4*(1-B$7)+I72*B$6*(B$7)</f>
        <v>0.75</v>
      </c>
      <c r="K72" s="5">
        <f>F72-H72-J72</f>
        <v>7.6815819481546601</v>
      </c>
      <c r="L72" s="5">
        <f>K72*B$12</f>
        <v>2.5349220428910382</v>
      </c>
      <c r="M72" s="5">
        <f>K72-L72</f>
        <v>5.1466599052636219</v>
      </c>
      <c r="N72" s="4"/>
      <c r="O72" s="5">
        <f>IF(O$14="Increase",IF(C72="y",0,IF($B72&gt;0,H72*$B72*(1+O$15),0)),IF(C72="y",0,IF($B72&gt;0,H72*$B72*(1-O$15),0)))</f>
        <v>0.78532781250000006</v>
      </c>
      <c r="P72" s="5">
        <f>IF(P$14="Increase",IF(C72="y",0,IF($B72&gt;0,(I72*B$4*(1-B$7))*$B72*(1+P$15),0)),IF(C72="y",0,IF($B72&gt;0,(I72*B$4*(1-B$7))*$B72*(1-P$15),0)))</f>
        <v>1.7249999999999999</v>
      </c>
      <c r="Q72" s="5">
        <f>IF(Q$14="Increase",IF(C72="y",0,IF($B72&gt;0,(I72*B$6*(B$7))*$B72*(1+Q$15),0)),IF(C72="y",0,IF($B72&gt;0,(I72*B$6*(B$7))*$B72*(1-Q$15),0)))</f>
        <v>0</v>
      </c>
      <c r="R72" s="5">
        <f>IF(R$14="Increase",IF(C72="y",0,IF($B72&gt;0,L72*$B72*(1+R$15),0)),IF(C72="y",0,IF($B72&gt;0,L72*$B72*(1-R$15),0)))</f>
        <v>5.8303206986493876</v>
      </c>
      <c r="S72" s="5">
        <f>IF(S$14="Increase",IF(C72="y",0,IF($B72&gt;0,M72*$B72*(1+S$15),0)),IF(C72="y",0,IF($B72&gt;0,M72*$B72*(1-S$15),0)))</f>
        <v>11.837317782106329</v>
      </c>
      <c r="T72" s="5">
        <f>IF(T$14="Increase",IF(C72="y",F72*B72*(1+T$15),0),IF(C72="y",F72*B72*(1-T$15),0))</f>
        <v>0</v>
      </c>
    </row>
    <row r="73" spans="1:20" x14ac:dyDescent="0.25">
      <c r="A73" s="4" t="s">
        <v>50</v>
      </c>
      <c r="B73" s="37"/>
      <c r="C73" s="38"/>
      <c r="D73" s="46"/>
      <c r="E73" s="9"/>
      <c r="F73" s="9">
        <f>IF(D73&gt;0,D73,E73-(G73*B$2*1.05)+H73-I73*12.5+J73)</f>
        <v>0.40978587962962953</v>
      </c>
      <c r="G73" s="13">
        <v>0.16750000000000001</v>
      </c>
      <c r="H73" s="5">
        <f>G73*B$3*1.05</f>
        <v>0.48365625000000001</v>
      </c>
      <c r="I73" s="14">
        <v>5.0370370370370371E-2</v>
      </c>
      <c r="J73" s="5">
        <f>I73*B$4*(1-B$7)+I73*B$6*(B$7)</f>
        <v>1.2592592592592593</v>
      </c>
      <c r="K73" s="5">
        <f>F73-H73-J73</f>
        <v>-1.3331296296296298</v>
      </c>
      <c r="L73" s="5">
        <f>K73*B$12</f>
        <v>-0.43993277777777784</v>
      </c>
      <c r="M73" s="5">
        <f>K73-L73</f>
        <v>-0.89319685185185194</v>
      </c>
      <c r="N73" s="4"/>
      <c r="O73" s="5">
        <f>IF(O$14="Increase",IF(C73="y",0,IF($B73&gt;0,H73*$B73*(1+O$15),0)),IF(C73="y",0,IF($B73&gt;0,H73*$B73*(1-O$15),0)))</f>
        <v>0</v>
      </c>
      <c r="P73" s="5">
        <f>IF(P$14="Increase",IF(C73="y",0,IF($B73&gt;0,(I73*B$4*(1-B$7))*$B73*(1+P$15),0)),IF(C73="y",0,IF($B73&gt;0,(I73*B$4*(1-B$7))*$B73*(1-P$15),0)))</f>
        <v>0</v>
      </c>
      <c r="Q73" s="5">
        <f>IF(Q$14="Increase",IF(C73="y",0,IF($B73&gt;0,(I73*B$6*(B$7))*$B73*(1+Q$15),0)),IF(C73="y",0,IF($B73&gt;0,(I73*B$6*(B$7))*$B73*(1-Q$15),0)))</f>
        <v>0</v>
      </c>
      <c r="R73" s="5">
        <f>IF(R$14="Increase",IF(C73="y",0,IF($B73&gt;0,L73*$B73*(1+R$15),0)),IF(C73="y",0,IF($B73&gt;0,L73*$B73*(1-R$15),0)))</f>
        <v>0</v>
      </c>
      <c r="S73" s="5">
        <f>IF(S$14="Increase",IF(C73="y",0,IF($B73&gt;0,M73*$B73*(1+S$15),0)),IF(C73="y",0,IF($B73&gt;0,M73*$B73*(1-S$15),0)))</f>
        <v>0</v>
      </c>
      <c r="T73" s="5">
        <f>IF(T$14="Increase",IF(C73="y",F73*B73*(1+T$15),0),IF(C73="y",F73*B73*(1-T$15),0))</f>
        <v>0</v>
      </c>
    </row>
    <row r="74" spans="1:20" x14ac:dyDescent="0.25">
      <c r="A74" s="4" t="s">
        <v>51</v>
      </c>
      <c r="B74" s="37"/>
      <c r="C74" s="38"/>
      <c r="D74" s="46"/>
      <c r="E74" s="9"/>
      <c r="F74" s="9">
        <f>IF(D74&gt;0,D74,E74-(G74*B$2*1.05)+H74-I74*12.5+J74)</f>
        <v>4.0810185185185144E-2</v>
      </c>
      <c r="G74" s="13">
        <v>0.11</v>
      </c>
      <c r="H74" s="5">
        <f>G74*B$3*1.05</f>
        <v>0.31762499999999999</v>
      </c>
      <c r="I74" s="14">
        <v>1.4814814814814815E-2</v>
      </c>
      <c r="J74" s="5">
        <f>I74*B$4*(1-B$7)+I74*B$6*(B$7)</f>
        <v>0.37037037037037041</v>
      </c>
      <c r="K74" s="5">
        <f>F74-H74-J74</f>
        <v>-0.64718518518518531</v>
      </c>
      <c r="L74" s="5">
        <f>K74*B$12</f>
        <v>-0.21357111111111116</v>
      </c>
      <c r="M74" s="5">
        <f>K74-L74</f>
        <v>-0.43361407407407415</v>
      </c>
      <c r="N74" s="4"/>
      <c r="O74" s="5">
        <f>IF(O$14="Increase",IF(C74="y",0,IF($B74&gt;0,H74*$B74*(1+O$15),0)),IF(C74="y",0,IF($B74&gt;0,H74*$B74*(1-O$15),0)))</f>
        <v>0</v>
      </c>
      <c r="P74" s="5">
        <f>IF(P$14="Increase",IF(C74="y",0,IF($B74&gt;0,(I74*B$4*(1-B$7))*$B74*(1+P$15),0)),IF(C74="y",0,IF($B74&gt;0,(I74*B$4*(1-B$7))*$B74*(1-P$15),0)))</f>
        <v>0</v>
      </c>
      <c r="Q74" s="5">
        <f>IF(Q$14="Increase",IF(C74="y",0,IF($B74&gt;0,(I74*B$6*(B$7))*$B74*(1+Q$15),0)),IF(C74="y",0,IF($B74&gt;0,(I74*B$6*(B$7))*$B74*(1-Q$15),0)))</f>
        <v>0</v>
      </c>
      <c r="R74" s="5">
        <f>IF(R$14="Increase",IF(C74="y",0,IF($B74&gt;0,L74*$B74*(1+R$15),0)),IF(C74="y",0,IF($B74&gt;0,L74*$B74*(1-R$15),0)))</f>
        <v>0</v>
      </c>
      <c r="S74" s="5">
        <f>IF(S$14="Increase",IF(C74="y",0,IF($B74&gt;0,M74*$B74*(1+S$15),0)),IF(C74="y",0,IF($B74&gt;0,M74*$B74*(1-S$15),0)))</f>
        <v>0</v>
      </c>
      <c r="T74" s="5">
        <f>IF(T$14="Increase",IF(C74="y",F74*B74*(1+T$15),0),IF(C74="y",F74*B74*(1-T$15),0))</f>
        <v>0</v>
      </c>
    </row>
    <row r="75" spans="1:20" x14ac:dyDescent="0.25">
      <c r="A75" s="4"/>
      <c r="B75" s="37"/>
      <c r="C75" s="38"/>
      <c r="D75" s="46"/>
      <c r="E75" s="9"/>
      <c r="F75" s="9"/>
      <c r="G75" s="4"/>
      <c r="H75" s="4"/>
      <c r="I75" s="4"/>
      <c r="J75" s="4"/>
      <c r="K75" s="4"/>
      <c r="L75" s="4"/>
      <c r="M75" s="4"/>
      <c r="N75" s="4"/>
      <c r="O75" s="4"/>
      <c r="P75" s="4"/>
      <c r="Q75" s="4"/>
      <c r="R75" s="4"/>
      <c r="S75" s="4"/>
      <c r="T75" s="4"/>
    </row>
    <row r="76" spans="1:20" x14ac:dyDescent="0.25">
      <c r="A76" s="12" t="s">
        <v>52</v>
      </c>
      <c r="B76" s="37"/>
      <c r="C76" s="38"/>
      <c r="D76" s="46"/>
      <c r="E76" s="9"/>
      <c r="F76" s="9"/>
      <c r="G76" s="4"/>
      <c r="H76" s="4"/>
      <c r="I76" s="4"/>
      <c r="J76" s="4"/>
      <c r="K76" s="4"/>
      <c r="L76" s="4"/>
      <c r="M76" s="4"/>
      <c r="N76" s="4"/>
      <c r="O76" s="4"/>
      <c r="P76" s="4"/>
      <c r="Q76" s="4"/>
      <c r="R76" s="4"/>
      <c r="S76" s="4"/>
      <c r="T76" s="4"/>
    </row>
    <row r="77" spans="1:20" x14ac:dyDescent="0.25">
      <c r="A77" s="4" t="s">
        <v>53</v>
      </c>
      <c r="B77" s="37"/>
      <c r="C77" s="38"/>
      <c r="D77" s="46"/>
      <c r="E77" s="9"/>
      <c r="F77" s="9">
        <f>IF(D77&gt;0,D77,E77-(G77*B$2*1.05)+H77-I77*12.5+J77)</f>
        <v>0.12907523148148137</v>
      </c>
      <c r="G77" s="13">
        <v>0.26850000000000002</v>
      </c>
      <c r="H77" s="5">
        <f>G77*B$3*1.05</f>
        <v>0.77529375</v>
      </c>
      <c r="I77" s="14">
        <v>3.8518518518518521E-2</v>
      </c>
      <c r="J77" s="5">
        <f>I77*B$4*(1-B$7)+I77*B$6*(B$7)</f>
        <v>0.96296296296296302</v>
      </c>
      <c r="K77" s="5">
        <f>F77-H77-J77</f>
        <v>-1.6091814814814818</v>
      </c>
      <c r="L77" s="5">
        <f>K77*B$12</f>
        <v>-0.53102988888888902</v>
      </c>
      <c r="M77" s="5">
        <f>K77-L77</f>
        <v>-1.0781515925925929</v>
      </c>
      <c r="N77" s="4"/>
      <c r="O77" s="5">
        <f>IF(O$14="Increase",IF(C77="y",0,IF($B77&gt;0,H77*$B77*(1+O$15),0)),IF(C77="y",0,IF($B77&gt;0,H77*$B77*(1-O$15),0)))</f>
        <v>0</v>
      </c>
      <c r="P77" s="5">
        <f>IF(P$14="Increase",IF(C77="y",0,IF($B77&gt;0,(I77*B$4*(1-B$7))*$B77*(1+P$15),0)),IF(C77="y",0,IF($B77&gt;0,(I77*B$4*(1-B$7))*$B77*(1-P$15),0)))</f>
        <v>0</v>
      </c>
      <c r="Q77" s="5">
        <f>IF(Q$14="Increase",IF(C77="y",0,IF($B77&gt;0,(I77*B$6*(B$7))*$B77*(1+Q$15),0)),IF(C77="y",0,IF($B77&gt;0,(I77*B$6*(B$7))*$B77*(1-Q$15),0)))</f>
        <v>0</v>
      </c>
      <c r="R77" s="5">
        <f>IF(R$14="Increase",IF(C77="y",0,IF($B77&gt;0,L77*$B77*(1+R$15),0)),IF(C77="y",0,IF($B77&gt;0,L77*$B77*(1-R$15),0)))</f>
        <v>0</v>
      </c>
      <c r="S77" s="5">
        <f>IF(S$14="Increase",IF(C77="y",0,IF($B77&gt;0,M77*$B77*(1+S$15),0)),IF(C77="y",0,IF($B77&gt;0,M77*$B77*(1-S$15),0)))</f>
        <v>0</v>
      </c>
      <c r="T77" s="5">
        <f>IF(T$14="Increase",IF(C77="y",F77*B77*(1+T$15),0),IF(C77="y",F77*B77*(1-T$15),0))</f>
        <v>0</v>
      </c>
    </row>
    <row r="78" spans="1:20" x14ac:dyDescent="0.25">
      <c r="A78" s="4" t="s">
        <v>54</v>
      </c>
      <c r="B78" s="37"/>
      <c r="C78" s="38"/>
      <c r="D78" s="46"/>
      <c r="E78" s="9"/>
      <c r="F78" s="9">
        <f>IF(D78&gt;0,D78,E78-(G78*B$2*1.05)+H78-I78*12.5+J78)</f>
        <v>0.367395622895623</v>
      </c>
      <c r="G78" s="13">
        <v>0.52800000000000002</v>
      </c>
      <c r="H78" s="5">
        <f>G78*B$3*1.05</f>
        <v>1.5246</v>
      </c>
      <c r="I78" s="14">
        <v>8.4831649831649841E-2</v>
      </c>
      <c r="J78" s="5">
        <f>I78*B$4*(1-B$7)+I78*B$6*(B$7)</f>
        <v>2.1207912457912461</v>
      </c>
      <c r="K78" s="5">
        <f>F78-H78-J78</f>
        <v>-3.2779956228956229</v>
      </c>
      <c r="L78" s="5">
        <f>K78*B$12</f>
        <v>-1.0817385555555556</v>
      </c>
      <c r="M78" s="5">
        <f>K78-L78</f>
        <v>-2.196257067340067</v>
      </c>
      <c r="N78" s="4"/>
      <c r="O78" s="5">
        <f>IF(O$14="Increase",IF(C78="y",0,IF($B78&gt;0,H78*$B78*(1+O$15),0)),IF(C78="y",0,IF($B78&gt;0,H78*$B78*(1-O$15),0)))</f>
        <v>0</v>
      </c>
      <c r="P78" s="5">
        <f>IF(P$14="Increase",IF(C78="y",0,IF($B78&gt;0,(I78*B$4*(1-B$7))*$B78*(1+P$15),0)),IF(C78="y",0,IF($B78&gt;0,(I78*B$4*(1-B$7))*$B78*(1-P$15),0)))</f>
        <v>0</v>
      </c>
      <c r="Q78" s="5">
        <f>IF(Q$14="Increase",IF(C78="y",0,IF($B78&gt;0,(I78*B$6*(B$7))*$B78*(1+Q$15),0)),IF(C78="y",0,IF($B78&gt;0,(I78*B$6*(B$7))*$B78*(1-Q$15),0)))</f>
        <v>0</v>
      </c>
      <c r="R78" s="5">
        <f>IF(R$14="Increase",IF(C78="y",0,IF($B78&gt;0,L78*$B78*(1+R$15),0)),IF(C78="y",0,IF($B78&gt;0,L78*$B78*(1-R$15),0)))</f>
        <v>0</v>
      </c>
      <c r="S78" s="5">
        <f>IF(S$14="Increase",IF(C78="y",0,IF($B78&gt;0,M78*$B78*(1+S$15),0)),IF(C78="y",0,IF($B78&gt;0,M78*$B78*(1-S$15),0)))</f>
        <v>0</v>
      </c>
      <c r="T78" s="5">
        <f>IF(T$14="Increase",IF(C78="y",F78*B78*(1+T$15),0),IF(C78="y",F78*B78*(1-T$15),0))</f>
        <v>0</v>
      </c>
    </row>
    <row r="79" spans="1:20" x14ac:dyDescent="0.25">
      <c r="A79" s="20" t="s">
        <v>93</v>
      </c>
      <c r="B79" s="35"/>
      <c r="C79" s="36"/>
      <c r="D79" s="48"/>
      <c r="E79" s="4"/>
      <c r="F79" s="4"/>
      <c r="G79" s="4"/>
      <c r="H79" s="4"/>
      <c r="I79" s="4"/>
      <c r="J79" s="4"/>
      <c r="K79" s="4"/>
      <c r="L79" s="4"/>
      <c r="M79" s="4"/>
      <c r="N79" s="4"/>
      <c r="O79" s="22">
        <f t="shared" ref="O79:T79" si="57">SUM(O19:O78)</f>
        <v>35.818231751403609</v>
      </c>
      <c r="P79" s="22">
        <f>SUM(P19:P78)+B14*(1-B7)*B4</f>
        <v>62.676049088428385</v>
      </c>
      <c r="Q79" s="22">
        <f>SUM(Q19:Q78)+B14*B7*B6</f>
        <v>0</v>
      </c>
      <c r="R79" s="22">
        <f t="shared" si="57"/>
        <v>49.171385255004779</v>
      </c>
      <c r="S79" s="22">
        <f>SUM(S19:S78)-(B14*(1-B7)*B4+B14*B7*B6)</f>
        <v>81.082812487433941</v>
      </c>
      <c r="T79" s="22">
        <f t="shared" si="57"/>
        <v>0</v>
      </c>
    </row>
    <row r="80" spans="1:20" s="11" customFormat="1" x14ac:dyDescent="0.25">
      <c r="A80" s="20" t="s">
        <v>142</v>
      </c>
      <c r="B80" s="35"/>
      <c r="C80" s="36"/>
      <c r="D80" s="48"/>
      <c r="E80" s="20"/>
      <c r="F80" s="20"/>
      <c r="G80" s="20"/>
      <c r="H80" s="20"/>
      <c r="I80" s="20"/>
      <c r="J80" s="20"/>
      <c r="K80" s="20"/>
      <c r="L80" s="20"/>
      <c r="M80" s="20"/>
      <c r="N80" s="20"/>
      <c r="O80" s="22">
        <f>O79 - (O79/$T81)*'Conv. Tillage Corn'!$I25</f>
        <v>35.818231751403609</v>
      </c>
      <c r="P80" s="22">
        <f>P79 - (P79/$T81)*'Conv. Tillage Corn'!$I25</f>
        <v>62.676049088428385</v>
      </c>
      <c r="Q80" s="22">
        <f>Q79 - (Q79/$T81)*'Conv. Tillage Corn'!$I25</f>
        <v>0</v>
      </c>
      <c r="R80" s="22">
        <f>R79 - (R79/$T81)*'Conv. Tillage Corn'!$I25</f>
        <v>49.171385255004779</v>
      </c>
      <c r="S80" s="22">
        <f>S79 - (S79/$T81)*'Conv. Tillage Corn'!$I25</f>
        <v>81.082812487433941</v>
      </c>
      <c r="T80" s="22">
        <f>'Conv. Tillage Corn'!I25</f>
        <v>0</v>
      </c>
    </row>
    <row r="81" spans="15:20" x14ac:dyDescent="0.25">
      <c r="T81" s="10">
        <f>SUM(O79:T79)</f>
        <v>228.74847858227071</v>
      </c>
    </row>
    <row r="82" spans="15:20" x14ac:dyDescent="0.25">
      <c r="T82" s="10">
        <f>SUM(O80:T80)</f>
        <v>228.74847858227071</v>
      </c>
    </row>
    <row r="83" spans="15:20" x14ac:dyDescent="0.25">
      <c r="T83" s="10"/>
    </row>
    <row r="84" spans="15:20" x14ac:dyDescent="0.25">
      <c r="T84" s="10"/>
    </row>
    <row r="87" spans="15:20" x14ac:dyDescent="0.25">
      <c r="O87" t="s">
        <v>89</v>
      </c>
    </row>
    <row r="88" spans="15:20" x14ac:dyDescent="0.25">
      <c r="O88" t="s">
        <v>90</v>
      </c>
    </row>
  </sheetData>
  <mergeCells count="18">
    <mergeCell ref="A55:B55"/>
    <mergeCell ref="E12:T12"/>
    <mergeCell ref="O13:T13"/>
    <mergeCell ref="E8:T8"/>
    <mergeCell ref="E2:T2"/>
    <mergeCell ref="E3:T3"/>
    <mergeCell ref="E11:T11"/>
    <mergeCell ref="E4:T4"/>
    <mergeCell ref="A11:D11"/>
    <mergeCell ref="E9:T9"/>
    <mergeCell ref="E10:T10"/>
    <mergeCell ref="A1:T1"/>
    <mergeCell ref="E13:N15"/>
    <mergeCell ref="E5:T5"/>
    <mergeCell ref="E6:T6"/>
    <mergeCell ref="E7:T7"/>
    <mergeCell ref="A9:D9"/>
    <mergeCell ref="A10:D10"/>
  </mergeCells>
  <phoneticPr fontId="0" type="noConversion"/>
  <dataValidations count="1">
    <dataValidation type="list" allowBlank="1" showInputMessage="1" showErrorMessage="1" sqref="O14:T14" xr:uid="{00000000-0002-0000-0700-000000000000}">
      <formula1>$O$87:$O$88</formula1>
    </dataValidation>
  </dataValidations>
  <pageMargins left="0.75" right="0.75" top="1" bottom="1" header="0.5" footer="0.5"/>
  <pageSetup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K56"/>
  <sheetViews>
    <sheetView showGridLines="0" workbookViewId="0">
      <selection activeCell="F5" sqref="F5"/>
    </sheetView>
  </sheetViews>
  <sheetFormatPr defaultRowHeight="13.2" x14ac:dyDescent="0.25"/>
  <cols>
    <col min="1" max="1" width="3" customWidth="1"/>
    <col min="2" max="2" width="4" customWidth="1"/>
    <col min="3" max="3" width="28.6640625" customWidth="1"/>
    <col min="4" max="4" width="8.6640625" customWidth="1"/>
    <col min="5" max="5" width="7.6640625" customWidth="1"/>
    <col min="6" max="6" width="7.88671875" customWidth="1"/>
    <col min="7" max="7" width="10" customWidth="1"/>
    <col min="8" max="8" width="5" customWidth="1"/>
    <col min="9" max="9" width="8.6640625" customWidth="1"/>
  </cols>
  <sheetData>
    <row r="1" spans="2:11" ht="15.6" x14ac:dyDescent="0.3">
      <c r="B1" s="151" t="s">
        <v>156</v>
      </c>
      <c r="C1" s="152"/>
      <c r="D1" s="152"/>
      <c r="E1" s="152"/>
      <c r="F1" s="152"/>
      <c r="G1" s="152"/>
      <c r="H1" s="152"/>
      <c r="I1" s="152"/>
      <c r="K1" t="s">
        <v>84</v>
      </c>
    </row>
    <row r="2" spans="2:11" ht="5.25" customHeight="1" x14ac:dyDescent="0.25">
      <c r="B2" s="4"/>
      <c r="C2" s="4"/>
      <c r="D2" s="4"/>
      <c r="E2" s="4"/>
      <c r="F2" s="4"/>
      <c r="G2" s="157"/>
      <c r="H2" s="125"/>
      <c r="I2" s="4"/>
    </row>
    <row r="3" spans="2:11" s="25" customFormat="1" ht="19.2" customHeight="1" x14ac:dyDescent="0.25">
      <c r="B3" s="27"/>
      <c r="C3" s="27"/>
      <c r="D3" s="3" t="s">
        <v>152</v>
      </c>
      <c r="E3" s="3" t="s">
        <v>60</v>
      </c>
      <c r="F3" s="3" t="s">
        <v>61</v>
      </c>
      <c r="G3" s="153"/>
      <c r="H3" s="154"/>
      <c r="I3" s="3" t="s">
        <v>5</v>
      </c>
    </row>
    <row r="4" spans="2:11" x14ac:dyDescent="0.25">
      <c r="B4" s="28" t="s">
        <v>62</v>
      </c>
      <c r="C4" s="28"/>
      <c r="D4" s="139"/>
      <c r="E4" s="140"/>
      <c r="F4" s="140"/>
      <c r="G4" s="140"/>
      <c r="H4" s="140"/>
      <c r="I4" s="141"/>
    </row>
    <row r="5" spans="2:11" x14ac:dyDescent="0.25">
      <c r="B5" s="4"/>
      <c r="C5" s="4" t="s">
        <v>25</v>
      </c>
      <c r="D5" s="70">
        <v>56</v>
      </c>
      <c r="E5" s="4" t="s">
        <v>63</v>
      </c>
      <c r="F5" s="113">
        <v>9.75</v>
      </c>
      <c r="G5" s="138"/>
      <c r="H5" s="138"/>
      <c r="I5" s="5">
        <f>D5*F5</f>
        <v>546</v>
      </c>
    </row>
    <row r="6" spans="2:11" x14ac:dyDescent="0.25">
      <c r="B6" s="4"/>
      <c r="C6" s="29" t="s">
        <v>203</v>
      </c>
      <c r="D6" s="4">
        <v>1</v>
      </c>
      <c r="E6" s="4" t="s">
        <v>69</v>
      </c>
      <c r="F6" s="72">
        <v>0</v>
      </c>
      <c r="G6" s="155"/>
      <c r="H6" s="156"/>
      <c r="I6" s="78">
        <f>D6*F6</f>
        <v>0</v>
      </c>
    </row>
    <row r="7" spans="2:11" x14ac:dyDescent="0.25">
      <c r="B7" s="4"/>
      <c r="C7" s="29" t="s">
        <v>202</v>
      </c>
      <c r="D7" s="4">
        <v>1</v>
      </c>
      <c r="E7" s="4" t="s">
        <v>69</v>
      </c>
      <c r="F7" s="72">
        <v>20</v>
      </c>
      <c r="G7" s="155"/>
      <c r="H7" s="156"/>
      <c r="I7" s="31">
        <f>D7*F7</f>
        <v>20</v>
      </c>
    </row>
    <row r="8" spans="2:11" x14ac:dyDescent="0.25">
      <c r="B8" s="28" t="s">
        <v>83</v>
      </c>
      <c r="C8" s="28"/>
      <c r="D8" s="4"/>
      <c r="E8" s="4"/>
      <c r="F8" s="16"/>
      <c r="G8" s="138"/>
      <c r="H8" s="138"/>
      <c r="I8" s="51">
        <f>I5+I7</f>
        <v>566</v>
      </c>
    </row>
    <row r="9" spans="2:11" ht="4.5" customHeight="1" x14ac:dyDescent="0.25">
      <c r="B9" s="4"/>
      <c r="C9" s="4"/>
      <c r="D9" s="4"/>
      <c r="E9" s="4"/>
      <c r="F9" s="4"/>
      <c r="G9" s="138"/>
      <c r="H9" s="138"/>
      <c r="I9" s="4"/>
    </row>
    <row r="10" spans="2:11" x14ac:dyDescent="0.25">
      <c r="B10" s="28" t="s">
        <v>64</v>
      </c>
      <c r="C10" s="4"/>
      <c r="D10" s="184"/>
      <c r="E10" s="140"/>
      <c r="F10" s="140"/>
      <c r="G10" s="140"/>
      <c r="H10" s="140"/>
      <c r="I10" s="141"/>
    </row>
    <row r="11" spans="2:11" x14ac:dyDescent="0.25">
      <c r="B11" s="4"/>
      <c r="C11" s="4" t="s">
        <v>65</v>
      </c>
      <c r="D11" s="71">
        <v>1</v>
      </c>
      <c r="E11" s="4" t="s">
        <v>66</v>
      </c>
      <c r="F11" s="72">
        <v>70</v>
      </c>
      <c r="G11" s="138"/>
      <c r="H11" s="138"/>
      <c r="I11" s="5">
        <f t="shared" ref="I11:I18" si="0">D11*F11</f>
        <v>70</v>
      </c>
    </row>
    <row r="12" spans="2:11" ht="15.6" x14ac:dyDescent="0.35">
      <c r="B12" s="4"/>
      <c r="C12" s="4" t="s">
        <v>121</v>
      </c>
      <c r="D12" s="70">
        <v>30</v>
      </c>
      <c r="E12" s="4" t="s">
        <v>201</v>
      </c>
      <c r="F12" s="113">
        <v>0.57999999999999996</v>
      </c>
      <c r="G12" s="138"/>
      <c r="H12" s="138"/>
      <c r="I12" s="5">
        <f t="shared" si="0"/>
        <v>17.399999999999999</v>
      </c>
    </row>
    <row r="13" spans="2:11" ht="15.6" x14ac:dyDescent="0.35">
      <c r="B13" s="4"/>
      <c r="C13" s="4" t="s">
        <v>122</v>
      </c>
      <c r="D13" s="70">
        <v>55</v>
      </c>
      <c r="E13" s="4" t="s">
        <v>201</v>
      </c>
      <c r="F13" s="113">
        <v>0.38</v>
      </c>
      <c r="G13" s="149"/>
      <c r="H13" s="150"/>
      <c r="I13" s="5">
        <f t="shared" si="0"/>
        <v>20.9</v>
      </c>
    </row>
    <row r="14" spans="2:11" x14ac:dyDescent="0.25">
      <c r="B14" s="4"/>
      <c r="C14" s="4" t="s">
        <v>107</v>
      </c>
      <c r="D14" s="70">
        <v>0</v>
      </c>
      <c r="E14" s="4" t="s">
        <v>201</v>
      </c>
      <c r="F14" s="113">
        <v>0</v>
      </c>
      <c r="G14" s="149"/>
      <c r="H14" s="150"/>
      <c r="I14" s="5">
        <f t="shared" si="0"/>
        <v>0</v>
      </c>
    </row>
    <row r="15" spans="2:11" x14ac:dyDescent="0.25">
      <c r="B15" s="4"/>
      <c r="C15" s="4" t="s">
        <v>97</v>
      </c>
      <c r="D15" s="77">
        <v>0.7</v>
      </c>
      <c r="E15" s="4" t="s">
        <v>67</v>
      </c>
      <c r="F15" s="72">
        <v>25</v>
      </c>
      <c r="G15" s="138"/>
      <c r="H15" s="138"/>
      <c r="I15" s="5">
        <f t="shared" si="0"/>
        <v>17.5</v>
      </c>
    </row>
    <row r="16" spans="2:11" x14ac:dyDescent="0.25">
      <c r="B16" s="4"/>
      <c r="C16" s="4" t="s">
        <v>68</v>
      </c>
      <c r="D16" s="4">
        <v>1</v>
      </c>
      <c r="E16" s="4" t="s">
        <v>69</v>
      </c>
      <c r="F16" s="72">
        <v>70</v>
      </c>
      <c r="G16" s="138"/>
      <c r="H16" s="138"/>
      <c r="I16" s="5">
        <f t="shared" si="0"/>
        <v>70</v>
      </c>
    </row>
    <row r="17" spans="2:11" ht="15.6" x14ac:dyDescent="0.25">
      <c r="B17" s="4"/>
      <c r="C17" s="4" t="s">
        <v>181</v>
      </c>
      <c r="D17" s="4">
        <v>1</v>
      </c>
      <c r="E17" s="4" t="s">
        <v>69</v>
      </c>
      <c r="F17" s="72">
        <v>0</v>
      </c>
      <c r="G17" s="138"/>
      <c r="H17" s="138"/>
      <c r="I17" s="5">
        <f t="shared" si="0"/>
        <v>0</v>
      </c>
    </row>
    <row r="18" spans="2:11" ht="15.6" x14ac:dyDescent="0.25">
      <c r="B18" s="4"/>
      <c r="C18" s="29" t="s">
        <v>182</v>
      </c>
      <c r="D18" s="4">
        <v>1</v>
      </c>
      <c r="E18" s="4" t="s">
        <v>69</v>
      </c>
      <c r="F18" s="72">
        <v>0</v>
      </c>
      <c r="G18" s="143"/>
      <c r="H18" s="143"/>
      <c r="I18" s="5">
        <f t="shared" si="0"/>
        <v>0</v>
      </c>
    </row>
    <row r="19" spans="2:11" ht="13.2" customHeight="1" x14ac:dyDescent="0.25">
      <c r="B19" s="4"/>
      <c r="C19" s="32" t="s">
        <v>96</v>
      </c>
      <c r="D19" s="32">
        <v>1</v>
      </c>
      <c r="E19" s="32" t="s">
        <v>69</v>
      </c>
      <c r="F19" s="73">
        <v>0</v>
      </c>
      <c r="G19" s="144" t="s">
        <v>141</v>
      </c>
      <c r="H19" s="146" t="s">
        <v>59</v>
      </c>
      <c r="I19" s="39">
        <f>IF(H19="Y",'Machinery Soybeans'!O80,F19)</f>
        <v>16.217121788490562</v>
      </c>
      <c r="K19" t="s">
        <v>84</v>
      </c>
    </row>
    <row r="20" spans="2:11" x14ac:dyDescent="0.25">
      <c r="B20" s="4"/>
      <c r="C20" s="32" t="s">
        <v>8</v>
      </c>
      <c r="D20" s="32">
        <v>1</v>
      </c>
      <c r="E20" s="32" t="s">
        <v>69</v>
      </c>
      <c r="F20" s="73">
        <v>0</v>
      </c>
      <c r="G20" s="145"/>
      <c r="H20" s="147"/>
      <c r="I20" s="39">
        <f>IF(H19="Y",('Machinery Soybeans'!R80-(I23*'Machinery Soybeans'!B12)),F20)</f>
        <v>28.844325367405368</v>
      </c>
    </row>
    <row r="21" spans="2:11" x14ac:dyDescent="0.25">
      <c r="B21" s="4"/>
      <c r="C21" s="32" t="s">
        <v>80</v>
      </c>
      <c r="D21" s="32">
        <v>1</v>
      </c>
      <c r="E21" s="32" t="s">
        <v>69</v>
      </c>
      <c r="F21" s="73">
        <v>0</v>
      </c>
      <c r="G21" s="145"/>
      <c r="H21" s="147"/>
      <c r="I21" s="39">
        <f>IF(H19="Y",'Machinery Soybeans'!Q80,F21)</f>
        <v>0</v>
      </c>
    </row>
    <row r="22" spans="2:11" x14ac:dyDescent="0.25">
      <c r="B22" s="4"/>
      <c r="C22" s="32" t="s">
        <v>123</v>
      </c>
      <c r="D22" s="32">
        <v>1</v>
      </c>
      <c r="E22" s="32" t="s">
        <v>69</v>
      </c>
      <c r="F22" s="73">
        <v>0</v>
      </c>
      <c r="G22" s="145"/>
      <c r="H22" s="147"/>
      <c r="I22" s="39">
        <f>IF(H19="Y",(IF('Machinery Soybeans'!B5="y",'Machinery Soybeans'!P80,0)),F22)</f>
        <v>36.397716899226339</v>
      </c>
      <c r="J22" s="2"/>
    </row>
    <row r="23" spans="2:11" x14ac:dyDescent="0.25">
      <c r="B23" s="4"/>
      <c r="C23" s="4" t="s">
        <v>86</v>
      </c>
      <c r="D23" s="4">
        <v>1</v>
      </c>
      <c r="E23" s="4" t="s">
        <v>69</v>
      </c>
      <c r="F23" s="72">
        <v>0</v>
      </c>
      <c r="G23" s="148"/>
      <c r="H23" s="148"/>
      <c r="I23" s="5">
        <f>D23*F23</f>
        <v>0</v>
      </c>
      <c r="J23" t="s">
        <v>84</v>
      </c>
    </row>
    <row r="24" spans="2:11" x14ac:dyDescent="0.25">
      <c r="B24" s="4"/>
      <c r="C24" s="4" t="s">
        <v>140</v>
      </c>
      <c r="D24" s="4">
        <v>1</v>
      </c>
      <c r="E24" s="4" t="s">
        <v>69</v>
      </c>
      <c r="F24" s="72">
        <v>0</v>
      </c>
      <c r="G24" s="148"/>
      <c r="H24" s="148"/>
      <c r="I24" s="5">
        <f>D24*F24</f>
        <v>0</v>
      </c>
      <c r="J24" t="s">
        <v>84</v>
      </c>
    </row>
    <row r="25" spans="2:11" ht="15.6" x14ac:dyDescent="0.25">
      <c r="B25" s="4"/>
      <c r="C25" s="4" t="s">
        <v>199</v>
      </c>
      <c r="D25" s="4">
        <v>1</v>
      </c>
      <c r="E25" s="4" t="s">
        <v>69</v>
      </c>
      <c r="F25" s="72">
        <v>20</v>
      </c>
      <c r="G25" s="148"/>
      <c r="H25" s="148"/>
      <c r="I25" s="5">
        <f>D25*F25</f>
        <v>20</v>
      </c>
    </row>
    <row r="26" spans="2:11" ht="15.6" x14ac:dyDescent="0.25">
      <c r="B26" s="4"/>
      <c r="C26" s="4" t="s">
        <v>200</v>
      </c>
      <c r="D26" s="4">
        <v>1</v>
      </c>
      <c r="E26" s="4" t="s">
        <v>69</v>
      </c>
      <c r="F26" s="72">
        <v>175</v>
      </c>
      <c r="G26" s="148"/>
      <c r="H26" s="148"/>
      <c r="I26" s="5">
        <f>D26*F26</f>
        <v>175</v>
      </c>
    </row>
    <row r="27" spans="2:11" x14ac:dyDescent="0.25">
      <c r="B27" s="4"/>
      <c r="C27" s="4" t="s">
        <v>194</v>
      </c>
      <c r="D27" s="4">
        <v>1</v>
      </c>
      <c r="E27" s="4" t="s">
        <v>69</v>
      </c>
      <c r="F27" s="72">
        <v>20</v>
      </c>
      <c r="G27" s="142"/>
      <c r="H27" s="142"/>
      <c r="I27" s="5">
        <f>D27*F27</f>
        <v>20</v>
      </c>
    </row>
    <row r="28" spans="2:11" x14ac:dyDescent="0.25">
      <c r="B28" s="4"/>
      <c r="C28" s="4" t="s">
        <v>70</v>
      </c>
      <c r="D28" s="58">
        <f>SUM(I10:I27)-(SUM('Machinery Soybeans'!O48:O55,'Machinery Soybeans'!P48:P55,'Machinery Soybeans'!Q48:Q55,'Machinery Soybeans'!R48:R55,'Machinery Soybeans'!T48:T55))</f>
        <v>454.92400465385231</v>
      </c>
      <c r="E28" s="4" t="s">
        <v>71</v>
      </c>
      <c r="F28" s="74">
        <v>0.08</v>
      </c>
      <c r="G28" s="30" t="s">
        <v>91</v>
      </c>
      <c r="H28" s="76">
        <v>7</v>
      </c>
      <c r="I28" s="31">
        <f>D28*F28*(H28/12)</f>
        <v>21.229786883846444</v>
      </c>
    </row>
    <row r="29" spans="2:11" x14ac:dyDescent="0.25">
      <c r="B29" s="28" t="s">
        <v>72</v>
      </c>
      <c r="C29" s="4"/>
      <c r="D29" s="4"/>
      <c r="E29" s="4"/>
      <c r="F29" s="4"/>
      <c r="G29" s="138"/>
      <c r="H29" s="138"/>
      <c r="I29" s="51">
        <f>SUM(I11:I28)</f>
        <v>513.48895093896874</v>
      </c>
    </row>
    <row r="30" spans="2:11" ht="7.5" customHeight="1" x14ac:dyDescent="0.25">
      <c r="B30" s="4"/>
      <c r="C30" s="4"/>
      <c r="D30" s="4"/>
      <c r="E30" s="4"/>
      <c r="F30" s="4"/>
      <c r="G30" s="138"/>
      <c r="H30" s="138"/>
      <c r="I30" s="4"/>
    </row>
    <row r="31" spans="2:11" ht="15.6" x14ac:dyDescent="0.3">
      <c r="B31" s="139" t="s">
        <v>73</v>
      </c>
      <c r="C31" s="140"/>
      <c r="D31" s="140"/>
      <c r="E31" s="140"/>
      <c r="F31" s="140"/>
      <c r="G31" s="140"/>
      <c r="H31" s="141"/>
      <c r="I31" s="115">
        <f>I8-I29</f>
        <v>52.511049061031258</v>
      </c>
    </row>
    <row r="32" spans="2:11" ht="7.5" customHeight="1" x14ac:dyDescent="0.25">
      <c r="B32" s="4"/>
      <c r="C32" s="4"/>
      <c r="D32" s="4"/>
      <c r="E32" s="4"/>
      <c r="F32" s="4"/>
      <c r="G32" s="138"/>
      <c r="H32" s="138"/>
      <c r="I32" s="4"/>
    </row>
    <row r="33" spans="2:11" x14ac:dyDescent="0.25">
      <c r="B33" s="28" t="s">
        <v>74</v>
      </c>
      <c r="C33" s="4"/>
      <c r="D33" s="184"/>
      <c r="E33" s="140"/>
      <c r="F33" s="140"/>
      <c r="G33" s="140"/>
      <c r="H33" s="140"/>
      <c r="I33" s="141"/>
    </row>
    <row r="34" spans="2:11" x14ac:dyDescent="0.25">
      <c r="B34" s="4"/>
      <c r="C34" s="32" t="s">
        <v>124</v>
      </c>
      <c r="D34" s="32"/>
      <c r="E34" s="32"/>
      <c r="F34" s="73">
        <v>0</v>
      </c>
      <c r="G34" s="134" t="s">
        <v>101</v>
      </c>
      <c r="H34" s="135"/>
      <c r="I34" s="39">
        <f>IF(H19="Y",IF('Machinery Soybeans'!B5="y",0,'Machinery Soybeans'!P80),F34)</f>
        <v>0</v>
      </c>
    </row>
    <row r="35" spans="2:11" ht="15" customHeight="1" x14ac:dyDescent="0.25">
      <c r="B35" s="4"/>
      <c r="C35" s="32" t="s">
        <v>81</v>
      </c>
      <c r="D35" s="32"/>
      <c r="E35" s="32"/>
      <c r="F35" s="73">
        <v>0</v>
      </c>
      <c r="G35" s="136"/>
      <c r="H35" s="137"/>
      <c r="I35" s="39">
        <f>IF(H19="Y",'Machinery Soybeans'!S80-(I23*(1-'Machinery Soybeans'!B12)),F35)</f>
        <v>39.812721200489676</v>
      </c>
      <c r="K35" t="s">
        <v>84</v>
      </c>
    </row>
    <row r="36" spans="2:11" x14ac:dyDescent="0.25">
      <c r="B36" s="4"/>
      <c r="C36" s="4" t="s">
        <v>85</v>
      </c>
      <c r="D36" s="4">
        <v>1</v>
      </c>
      <c r="E36" s="4" t="s">
        <v>69</v>
      </c>
      <c r="F36" s="72">
        <v>10</v>
      </c>
      <c r="G36" s="138"/>
      <c r="H36" s="138"/>
      <c r="I36" s="5">
        <f>D36*F36</f>
        <v>10</v>
      </c>
    </row>
    <row r="37" spans="2:11" x14ac:dyDescent="0.25">
      <c r="B37" s="4"/>
      <c r="C37" s="4" t="s">
        <v>193</v>
      </c>
      <c r="D37" s="4">
        <v>1</v>
      </c>
      <c r="E37" s="4" t="s">
        <v>69</v>
      </c>
      <c r="F37" s="72">
        <v>15</v>
      </c>
      <c r="G37" s="138"/>
      <c r="H37" s="138"/>
      <c r="I37" s="31">
        <f>D37*F37</f>
        <v>15</v>
      </c>
    </row>
    <row r="38" spans="2:11" ht="15.6" x14ac:dyDescent="0.3">
      <c r="B38" s="139" t="s">
        <v>75</v>
      </c>
      <c r="C38" s="140"/>
      <c r="D38" s="140"/>
      <c r="E38" s="140"/>
      <c r="F38" s="140"/>
      <c r="G38" s="140"/>
      <c r="H38" s="141"/>
      <c r="I38" s="115">
        <f>I31-SUM(I34:I37)</f>
        <v>-12.301672139458418</v>
      </c>
      <c r="J38" t="s">
        <v>84</v>
      </c>
    </row>
    <row r="39" spans="2:11" x14ac:dyDescent="0.25">
      <c r="B39" s="4"/>
      <c r="C39" s="4"/>
      <c r="D39" s="4"/>
      <c r="E39" s="4"/>
      <c r="F39" s="4"/>
      <c r="G39" s="138"/>
      <c r="H39" s="138"/>
      <c r="I39" s="4"/>
    </row>
    <row r="40" spans="2:11" ht="15.6" x14ac:dyDescent="0.3">
      <c r="B40" s="161" t="str">
        <f>"Breakeven Yield at $" &amp; ROUND(F5,2) &amp;" /bushel"</f>
        <v>Breakeven Yield at $9.75 /bushel</v>
      </c>
      <c r="C40" s="162"/>
      <c r="D40" s="116">
        <f>I29/F5</f>
        <v>52.665533429637819</v>
      </c>
      <c r="E40" s="158" t="s">
        <v>76</v>
      </c>
      <c r="F40" s="159"/>
      <c r="G40" s="159"/>
      <c r="H40" s="159"/>
      <c r="I40" s="160"/>
      <c r="J40" s="23"/>
      <c r="K40" s="23"/>
    </row>
    <row r="41" spans="2:11" ht="15.6" x14ac:dyDescent="0.3">
      <c r="B41" s="161" t="str">
        <f>"Breakeven Cost at " &amp; ROUND(D5,0) &amp;" bu/acre"</f>
        <v>Breakeven Cost at 56 bu/acre</v>
      </c>
      <c r="C41" s="162"/>
      <c r="D41" s="117">
        <f>I29/D5</f>
        <v>9.1694455524815854</v>
      </c>
      <c r="E41" s="158" t="s">
        <v>153</v>
      </c>
      <c r="F41" s="159"/>
      <c r="G41" s="159"/>
      <c r="H41" s="159"/>
      <c r="I41" s="160"/>
      <c r="J41" s="23"/>
      <c r="K41" s="23"/>
    </row>
    <row r="42" spans="2:11" ht="15.6" x14ac:dyDescent="0.3">
      <c r="B42" s="161" t="str">
        <f>"Breakeven Cost at " &amp; ROUND(D5,0) &amp;" bu/acre"</f>
        <v>Breakeven Cost at 56 bu/acre</v>
      </c>
      <c r="C42" s="162"/>
      <c r="D42" s="117">
        <f>(I29+SUM(I34:I37))/D5</f>
        <v>10.326815573918902</v>
      </c>
      <c r="E42" s="158" t="s">
        <v>154</v>
      </c>
      <c r="F42" s="159"/>
      <c r="G42" s="159"/>
      <c r="H42" s="159"/>
      <c r="I42" s="160"/>
    </row>
    <row r="43" spans="2:11" x14ac:dyDescent="0.25">
      <c r="B43" s="183"/>
      <c r="C43" s="183"/>
      <c r="D43" s="183"/>
      <c r="E43" s="183"/>
      <c r="F43" s="183"/>
      <c r="G43" s="183"/>
      <c r="H43" s="183"/>
      <c r="I43" s="183"/>
    </row>
    <row r="44" spans="2:11" x14ac:dyDescent="0.25">
      <c r="B44" s="133" t="s">
        <v>177</v>
      </c>
      <c r="C44" s="133"/>
      <c r="D44" s="133"/>
      <c r="E44" s="133"/>
      <c r="F44" s="133"/>
      <c r="G44" s="133"/>
      <c r="H44" s="133"/>
      <c r="I44" s="133"/>
    </row>
    <row r="45" spans="2:11" ht="13.2" customHeight="1" x14ac:dyDescent="0.25">
      <c r="B45" s="132" t="s">
        <v>183</v>
      </c>
      <c r="C45" s="131"/>
      <c r="D45" s="131"/>
      <c r="E45" s="131"/>
      <c r="F45" s="131"/>
      <c r="G45" s="131"/>
      <c r="H45" s="131"/>
      <c r="I45" s="131"/>
    </row>
    <row r="46" spans="2:11" x14ac:dyDescent="0.25">
      <c r="B46" s="132" t="s">
        <v>190</v>
      </c>
      <c r="C46" s="131"/>
      <c r="D46" s="131"/>
      <c r="E46" s="131"/>
      <c r="F46" s="131"/>
      <c r="G46" s="131"/>
      <c r="H46" s="131"/>
      <c r="I46" s="131"/>
    </row>
    <row r="47" spans="2:11" x14ac:dyDescent="0.25">
      <c r="B47" s="132" t="s">
        <v>180</v>
      </c>
      <c r="C47" s="131"/>
      <c r="D47" s="131"/>
      <c r="E47" s="131"/>
      <c r="F47" s="131"/>
      <c r="G47" s="131"/>
      <c r="H47" s="131"/>
      <c r="I47" s="131"/>
    </row>
    <row r="48" spans="2:11" x14ac:dyDescent="0.25">
      <c r="B48" s="131"/>
      <c r="C48" s="131"/>
      <c r="D48" s="131"/>
      <c r="E48" s="131"/>
      <c r="F48" s="131"/>
      <c r="G48" s="131"/>
      <c r="H48" s="131"/>
      <c r="I48" s="131"/>
    </row>
    <row r="53" spans="6:7" hidden="1" x14ac:dyDescent="0.25">
      <c r="F53">
        <v>5</v>
      </c>
      <c r="G53" t="s">
        <v>100</v>
      </c>
    </row>
    <row r="54" spans="6:7" hidden="1" x14ac:dyDescent="0.25">
      <c r="F54">
        <v>6</v>
      </c>
      <c r="G54" t="s">
        <v>59</v>
      </c>
    </row>
    <row r="55" spans="6:7" hidden="1" x14ac:dyDescent="0.25">
      <c r="F55">
        <v>7</v>
      </c>
    </row>
    <row r="56" spans="6:7" hidden="1" x14ac:dyDescent="0.25">
      <c r="F56">
        <v>8</v>
      </c>
    </row>
  </sheetData>
  <sheetProtection algorithmName="SHA-512" hashValue="uWBEHgTWfxohLqcGO8VviP/dSLCTRxLgjNRbGaUNaZoTPEcMGCiJQI9UZFcjNKatwr3jJKBzUc597Kd7Me3zcQ==" saltValue="taEuOgXUso56VCDyetu71g==" spinCount="100000" sheet="1" formatCells="0" formatColumns="0" formatRows="0"/>
  <mergeCells count="47">
    <mergeCell ref="E41:I41"/>
    <mergeCell ref="E42:I42"/>
    <mergeCell ref="B42:C42"/>
    <mergeCell ref="B41:C41"/>
    <mergeCell ref="B38:H38"/>
    <mergeCell ref="E40:I40"/>
    <mergeCell ref="B40:C40"/>
    <mergeCell ref="G39:H39"/>
    <mergeCell ref="G34:H35"/>
    <mergeCell ref="G36:H36"/>
    <mergeCell ref="G37:H37"/>
    <mergeCell ref="G23:H23"/>
    <mergeCell ref="G25:H25"/>
    <mergeCell ref="G26:H26"/>
    <mergeCell ref="G27:H27"/>
    <mergeCell ref="D33:I33"/>
    <mergeCell ref="G29:H29"/>
    <mergeCell ref="G30:H30"/>
    <mergeCell ref="B31:H31"/>
    <mergeCell ref="G32:H32"/>
    <mergeCell ref="G18:H18"/>
    <mergeCell ref="G19:G22"/>
    <mergeCell ref="H19:H22"/>
    <mergeCell ref="G24:H24"/>
    <mergeCell ref="G8:H8"/>
    <mergeCell ref="G9:H9"/>
    <mergeCell ref="G11:H11"/>
    <mergeCell ref="G12:H12"/>
    <mergeCell ref="D10:I10"/>
    <mergeCell ref="G13:H13"/>
    <mergeCell ref="G15:H15"/>
    <mergeCell ref="G14:H14"/>
    <mergeCell ref="G16:H16"/>
    <mergeCell ref="G17:H17"/>
    <mergeCell ref="B1:I1"/>
    <mergeCell ref="G3:H3"/>
    <mergeCell ref="G5:H5"/>
    <mergeCell ref="G7:H7"/>
    <mergeCell ref="D4:I4"/>
    <mergeCell ref="G2:H2"/>
    <mergeCell ref="G6:H6"/>
    <mergeCell ref="B43:I43"/>
    <mergeCell ref="B45:I45"/>
    <mergeCell ref="B48:I48"/>
    <mergeCell ref="B44:I44"/>
    <mergeCell ref="B46:I46"/>
    <mergeCell ref="B47:I47"/>
  </mergeCells>
  <phoneticPr fontId="6" type="noConversion"/>
  <dataValidations count="2">
    <dataValidation type="list" allowBlank="1" showInputMessage="1" showErrorMessage="1" sqref="H28" xr:uid="{00000000-0002-0000-0800-000000000000}">
      <formula1>$F$53:$F$56</formula1>
    </dataValidation>
    <dataValidation type="list" allowBlank="1" showInputMessage="1" showErrorMessage="1" sqref="H19:H22" xr:uid="{00000000-0002-0000-0800-000001000000}">
      <formula1>$G$53:$G$54</formula1>
    </dataValidation>
  </dataValidations>
  <pageMargins left="0.75" right="0.75" top="1" bottom="1" header="0.5" footer="0.5"/>
  <pageSetup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Instructions</vt:lpstr>
      <vt:lpstr>Machinery Calculations</vt:lpstr>
      <vt:lpstr>Trucking</vt:lpstr>
      <vt:lpstr>No-Till Corn</vt:lpstr>
      <vt:lpstr>Machinery (Corn No-Till)</vt:lpstr>
      <vt:lpstr>Conv. Tillage Corn</vt:lpstr>
      <vt:lpstr>Machinery (Tillage Corn)</vt:lpstr>
      <vt:lpstr>No-Till Soybeans</vt:lpstr>
      <vt:lpstr>Machinery Soybeans</vt:lpstr>
      <vt:lpstr>Notes-Questions</vt:lpstr>
    </vt:vector>
  </TitlesOfParts>
  <Company>Virginia 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Halich</dc:creator>
  <cp:lastModifiedBy>Halich, Gregory S.</cp:lastModifiedBy>
  <cp:lastPrinted>2010-09-17T19:45:12Z</cp:lastPrinted>
  <dcterms:created xsi:type="dcterms:W3CDTF">2003-09-21T12:28:39Z</dcterms:created>
  <dcterms:modified xsi:type="dcterms:W3CDTF">2025-03-24T11:06:43Z</dcterms:modified>
</cp:coreProperties>
</file>