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95" yWindow="375" windowWidth="13260" windowHeight="10020" activeTab="1"/>
  </bookViews>
  <sheets>
    <sheet name="Cover" sheetId="14" r:id="rId1"/>
    <sheet name="BredHeifer (Public)" sheetId="10" r:id="rId2"/>
    <sheet name="Adjusted Heifer Prices" sheetId="3" state="hidden" r:id="rId3"/>
    <sheet name="Notes" sheetId="13" state="hidden" r:id="rId4"/>
  </sheets>
  <calcPr calcId="145621"/>
</workbook>
</file>

<file path=xl/calcChain.xml><?xml version="1.0" encoding="utf-8"?>
<calcChain xmlns="http://schemas.openxmlformats.org/spreadsheetml/2006/main">
  <c r="AJ41" i="3" l="1"/>
  <c r="AK23" i="3"/>
  <c r="AP16" i="3"/>
  <c r="AP15" i="3"/>
  <c r="AK16" i="3"/>
  <c r="AK15" i="3"/>
  <c r="AP10" i="3"/>
  <c r="AP9" i="3"/>
  <c r="AK12" i="3"/>
  <c r="AK11" i="3"/>
  <c r="AK10" i="3"/>
  <c r="AK9" i="3"/>
  <c r="AK17" i="3" l="1"/>
  <c r="Y41" i="3"/>
  <c r="N41" i="3"/>
  <c r="C41" i="3"/>
  <c r="C40" i="10"/>
  <c r="P9" i="10" l="1"/>
  <c r="P8" i="10"/>
  <c r="G24" i="10" l="1"/>
  <c r="G23" i="10"/>
  <c r="B9" i="10" l="1"/>
  <c r="P14" i="10"/>
  <c r="B39" i="10" l="1"/>
  <c r="E55" i="10"/>
  <c r="E57" i="10" s="1"/>
  <c r="E59" i="10" s="1"/>
  <c r="M40" i="3" s="1"/>
  <c r="A57" i="10"/>
  <c r="A59" i="10"/>
  <c r="A60" i="10"/>
  <c r="A65" i="10"/>
  <c r="A71" i="10"/>
  <c r="B40" i="3" l="1"/>
  <c r="E60" i="10"/>
  <c r="B19" i="10"/>
  <c r="X40" i="3" l="1"/>
  <c r="AI40" i="3"/>
  <c r="D23" i="3"/>
  <c r="O23" i="3"/>
  <c r="I16" i="3"/>
  <c r="I15" i="3"/>
  <c r="T15" i="3"/>
  <c r="D16" i="3"/>
  <c r="D15" i="3"/>
  <c r="O15" i="3"/>
  <c r="I10" i="3"/>
  <c r="I9" i="3"/>
  <c r="T9" i="3"/>
  <c r="D11" i="3"/>
  <c r="D10" i="3"/>
  <c r="O10" i="3"/>
  <c r="P15" i="10"/>
  <c r="P13" i="10"/>
  <c r="P12" i="10"/>
  <c r="P11" i="10"/>
  <c r="P10" i="10"/>
  <c r="P7" i="10"/>
  <c r="M6" i="10"/>
  <c r="P6" i="10" s="1"/>
  <c r="P5" i="10"/>
  <c r="P16" i="10" l="1"/>
  <c r="E17" i="10" s="1"/>
  <c r="D9" i="3"/>
  <c r="D12" i="3"/>
  <c r="D17" i="3"/>
  <c r="I17" i="3"/>
  <c r="I11" i="3"/>
  <c r="E69" i="10" l="1"/>
  <c r="E71" i="10" s="1"/>
  <c r="AI45" i="3" s="1"/>
  <c r="E32" i="10"/>
  <c r="D24" i="3"/>
  <c r="D19" i="3"/>
  <c r="D20" i="3" s="1"/>
  <c r="D25" i="3"/>
  <c r="AI46" i="3" l="1"/>
  <c r="AI47" i="3" s="1"/>
  <c r="AI44" i="3"/>
  <c r="AI43" i="3" s="1"/>
  <c r="M45" i="3"/>
  <c r="M44" i="3" s="1"/>
  <c r="M43" i="3" s="1"/>
  <c r="B45" i="3"/>
  <c r="B44" i="10"/>
  <c r="AP23" i="3" s="1"/>
  <c r="X45" i="3"/>
  <c r="AE23" i="3"/>
  <c r="T23" i="3"/>
  <c r="I23" i="3"/>
  <c r="D26" i="3"/>
  <c r="M46" i="3" l="1"/>
  <c r="M47" i="3" s="1"/>
  <c r="B44" i="3"/>
  <c r="B43" i="3" s="1"/>
  <c r="B46" i="3"/>
  <c r="B47" i="3" s="1"/>
  <c r="X44" i="3"/>
  <c r="X43" i="3" s="1"/>
  <c r="X46" i="3"/>
  <c r="X47" i="3" s="1"/>
  <c r="B45" i="10"/>
  <c r="B46" i="10" s="1"/>
  <c r="B43" i="10"/>
  <c r="B42" i="10" s="1"/>
  <c r="D28" i="3"/>
  <c r="D31" i="3" s="1"/>
  <c r="E45" i="3" s="1"/>
  <c r="E25" i="10"/>
  <c r="E63" i="10" s="1"/>
  <c r="E65" i="10" s="1"/>
  <c r="AL42" i="3" s="1"/>
  <c r="Z23" i="3"/>
  <c r="AE16" i="3"/>
  <c r="AE15" i="3"/>
  <c r="Z16" i="3"/>
  <c r="Z15" i="3"/>
  <c r="AE10" i="3"/>
  <c r="AE9" i="3"/>
  <c r="Z11" i="3"/>
  <c r="Z10" i="3"/>
  <c r="O16" i="3"/>
  <c r="T16" i="3"/>
  <c r="T10" i="3"/>
  <c r="O11" i="3"/>
  <c r="E8" i="10"/>
  <c r="AM42" i="3" l="1"/>
  <c r="AN42" i="3" s="1"/>
  <c r="AK42" i="3"/>
  <c r="AJ42" i="3" s="1"/>
  <c r="E46" i="3"/>
  <c r="E47" i="3" s="1"/>
  <c r="E44" i="3"/>
  <c r="E43" i="3" s="1"/>
  <c r="P42" i="3"/>
  <c r="Q42" i="3" s="1"/>
  <c r="R42" i="3" s="1"/>
  <c r="E42" i="3"/>
  <c r="D32" i="3"/>
  <c r="E41" i="10"/>
  <c r="AA42" i="3"/>
  <c r="AE11" i="3"/>
  <c r="Z12" i="3"/>
  <c r="AE17" i="3"/>
  <c r="Z17" i="3"/>
  <c r="O17" i="3"/>
  <c r="T17" i="3"/>
  <c r="T11" i="3"/>
  <c r="O12" i="3"/>
  <c r="F41" i="10" l="1"/>
  <c r="G41" i="10" s="1"/>
  <c r="AP17" i="3"/>
  <c r="AK19" i="3" s="1"/>
  <c r="AK20" i="3" s="1"/>
  <c r="O42" i="3"/>
  <c r="N42" i="3" s="1"/>
  <c r="F42" i="3"/>
  <c r="G42" i="3" s="1"/>
  <c r="D42" i="3"/>
  <c r="C42" i="3" s="1"/>
  <c r="D41" i="10"/>
  <c r="C41" i="10" s="1"/>
  <c r="AB42" i="3"/>
  <c r="AC42" i="3" s="1"/>
  <c r="Z42" i="3"/>
  <c r="Y42" i="3" s="1"/>
  <c r="Z19" i="3"/>
  <c r="Z20" i="3" s="1"/>
  <c r="O19" i="3"/>
  <c r="O20" i="3" s="1"/>
  <c r="E22" i="10"/>
  <c r="E11" i="10"/>
  <c r="AP11" i="3" s="1"/>
  <c r="AK25" i="3" l="1"/>
  <c r="AK24" i="3"/>
  <c r="G45" i="3"/>
  <c r="F45" i="3"/>
  <c r="D45" i="3"/>
  <c r="C45" i="3"/>
  <c r="E27" i="10"/>
  <c r="E28" i="10" s="1"/>
  <c r="E30" i="10"/>
  <c r="E31" i="10"/>
  <c r="Z9" i="3"/>
  <c r="O9" i="3"/>
  <c r="AK26" i="3" l="1"/>
  <c r="AK28" i="3" s="1"/>
  <c r="AK31" i="3" s="1"/>
  <c r="G46" i="3"/>
  <c r="G47" i="3" s="1"/>
  <c r="G44" i="3"/>
  <c r="G43" i="3" s="1"/>
  <c r="C46" i="3"/>
  <c r="C47" i="3" s="1"/>
  <c r="C44" i="3"/>
  <c r="C43" i="3" s="1"/>
  <c r="D46" i="3"/>
  <c r="D47" i="3" s="1"/>
  <c r="D44" i="3"/>
  <c r="D43" i="3" s="1"/>
  <c r="F46" i="3"/>
  <c r="F47" i="3" s="1"/>
  <c r="F44" i="3"/>
  <c r="F43" i="3" s="1"/>
  <c r="E33" i="10"/>
  <c r="E35" i="10" s="1"/>
  <c r="O24" i="3"/>
  <c r="O25" i="3"/>
  <c r="Z24" i="3"/>
  <c r="Z25" i="3"/>
  <c r="AL45" i="3" l="1"/>
  <c r="AK32" i="3"/>
  <c r="Z26" i="3"/>
  <c r="Z28" i="3" s="1"/>
  <c r="Z31" i="3" s="1"/>
  <c r="AA45" i="3" s="1"/>
  <c r="O26" i="3"/>
  <c r="O28" i="3" s="1"/>
  <c r="O31" i="3" s="1"/>
  <c r="P45" i="3" s="1"/>
  <c r="E44" i="10" l="1"/>
  <c r="AN45" i="3"/>
  <c r="AL46" i="3"/>
  <c r="AL47" i="3" s="1"/>
  <c r="AM45" i="3"/>
  <c r="AJ45" i="3"/>
  <c r="AK45" i="3"/>
  <c r="AL44" i="3"/>
  <c r="AL43" i="3" s="1"/>
  <c r="P44" i="3"/>
  <c r="P43" i="3" s="1"/>
  <c r="P46" i="3"/>
  <c r="P47" i="3" s="1"/>
  <c r="AA46" i="3"/>
  <c r="AA47" i="3" s="1"/>
  <c r="AA44" i="3"/>
  <c r="AA43" i="3" s="1"/>
  <c r="O45" i="3"/>
  <c r="N45" i="3"/>
  <c r="R45" i="3"/>
  <c r="Q45" i="3"/>
  <c r="Y45" i="3"/>
  <c r="AC45" i="3"/>
  <c r="Z45" i="3"/>
  <c r="AB45" i="3"/>
  <c r="O32" i="3"/>
  <c r="Z32" i="3"/>
  <c r="AK44" i="3" l="1"/>
  <c r="AK43" i="3" s="1"/>
  <c r="AK46" i="3"/>
  <c r="AK47" i="3" s="1"/>
  <c r="AN46" i="3"/>
  <c r="AN47" i="3" s="1"/>
  <c r="AN44" i="3"/>
  <c r="AN43" i="3" s="1"/>
  <c r="AJ46" i="3"/>
  <c r="AJ47" i="3" s="1"/>
  <c r="AJ44" i="3"/>
  <c r="AJ43" i="3" s="1"/>
  <c r="E43" i="10"/>
  <c r="E42" i="10" s="1"/>
  <c r="F44" i="10"/>
  <c r="E45" i="10"/>
  <c r="E46" i="10" s="1"/>
  <c r="D44" i="10"/>
  <c r="C44" i="10"/>
  <c r="G44" i="10"/>
  <c r="AM46" i="3"/>
  <c r="AM47" i="3" s="1"/>
  <c r="AM44" i="3"/>
  <c r="AM43" i="3" s="1"/>
  <c r="R46" i="3"/>
  <c r="R47" i="3" s="1"/>
  <c r="R44" i="3"/>
  <c r="R43" i="3" s="1"/>
  <c r="AC46" i="3"/>
  <c r="AC47" i="3" s="1"/>
  <c r="AC44" i="3"/>
  <c r="AC43" i="3" s="1"/>
  <c r="N46" i="3"/>
  <c r="N47" i="3" s="1"/>
  <c r="N44" i="3"/>
  <c r="N43" i="3" s="1"/>
  <c r="Y46" i="3"/>
  <c r="Y47" i="3" s="1"/>
  <c r="Y44" i="3"/>
  <c r="Y43" i="3" s="1"/>
  <c r="O44" i="3"/>
  <c r="O43" i="3" s="1"/>
  <c r="O46" i="3"/>
  <c r="O47" i="3" s="1"/>
  <c r="AB44" i="3"/>
  <c r="AB43" i="3" s="1"/>
  <c r="AB46" i="3"/>
  <c r="AB47" i="3" s="1"/>
  <c r="Q46" i="3"/>
  <c r="Q47" i="3" s="1"/>
  <c r="Q44" i="3"/>
  <c r="Q43" i="3" s="1"/>
  <c r="Z46" i="3"/>
  <c r="Z47" i="3" s="1"/>
  <c r="Z44" i="3"/>
  <c r="Z43" i="3" s="1"/>
  <c r="G45" i="10" l="1"/>
  <c r="G46" i="10" s="1"/>
  <c r="G43" i="10"/>
  <c r="G42" i="10" s="1"/>
  <c r="F45" i="10"/>
  <c r="F46" i="10" s="1"/>
  <c r="F43" i="10"/>
  <c r="F42" i="10" s="1"/>
  <c r="C45" i="10"/>
  <c r="C46" i="10" s="1"/>
  <c r="C43" i="10"/>
  <c r="C42" i="10" s="1"/>
  <c r="D45" i="10"/>
  <c r="D46" i="10" s="1"/>
  <c r="D43" i="10"/>
  <c r="D42" i="10" s="1"/>
</calcChain>
</file>

<file path=xl/comments1.xml><?xml version="1.0" encoding="utf-8"?>
<comments xmlns="http://schemas.openxmlformats.org/spreadsheetml/2006/main">
  <authors>
    <author>Tech Bench x64</author>
  </authors>
  <commentList>
    <comment ref="D11" authorId="0">
      <text>
        <r>
          <rPr>
            <b/>
            <sz val="9"/>
            <color indexed="81"/>
            <rFont val="Tahoma"/>
            <family val="2"/>
          </rPr>
          <t>Tech Bench x64:</t>
        </r>
        <r>
          <rPr>
            <sz val="9"/>
            <color indexed="81"/>
            <rFont val="Tahoma"/>
            <family val="2"/>
          </rPr>
          <t xml:space="preserve">
isn't this just weaning percentage?</t>
        </r>
      </text>
    </comment>
    <comment ref="O11" authorId="0">
      <text>
        <r>
          <rPr>
            <b/>
            <sz val="9"/>
            <color indexed="81"/>
            <rFont val="Tahoma"/>
            <family val="2"/>
          </rPr>
          <t>Tech Bench x64:</t>
        </r>
        <r>
          <rPr>
            <sz val="9"/>
            <color indexed="81"/>
            <rFont val="Tahoma"/>
            <family val="2"/>
          </rPr>
          <t xml:space="preserve">
isn't this just weaning percentage?</t>
        </r>
      </text>
    </comment>
    <comment ref="Z11" authorId="0">
      <text>
        <r>
          <rPr>
            <b/>
            <sz val="9"/>
            <color indexed="81"/>
            <rFont val="Tahoma"/>
            <family val="2"/>
          </rPr>
          <t>Tech Bench x64:</t>
        </r>
        <r>
          <rPr>
            <sz val="9"/>
            <color indexed="81"/>
            <rFont val="Tahoma"/>
            <family val="2"/>
          </rPr>
          <t xml:space="preserve">
isn't this just weaning percentage?</t>
        </r>
      </text>
    </comment>
    <comment ref="AK11" authorId="0">
      <text>
        <r>
          <rPr>
            <b/>
            <sz val="9"/>
            <color indexed="81"/>
            <rFont val="Tahoma"/>
            <family val="2"/>
          </rPr>
          <t>Tech Bench x64:</t>
        </r>
        <r>
          <rPr>
            <sz val="9"/>
            <color indexed="81"/>
            <rFont val="Tahoma"/>
            <family val="2"/>
          </rPr>
          <t xml:space="preserve">
isn't this just weaning percentage?</t>
        </r>
      </text>
    </comment>
    <comment ref="D12" authorId="0">
      <text>
        <r>
          <rPr>
            <b/>
            <sz val="9"/>
            <color indexed="81"/>
            <rFont val="Tahoma"/>
            <family val="2"/>
          </rPr>
          <t>Tech Bench x64:</t>
        </r>
        <r>
          <rPr>
            <sz val="9"/>
            <color indexed="81"/>
            <rFont val="Tahoma"/>
            <family val="2"/>
          </rPr>
          <t xml:space="preserve">
these are total calves weaned and sold</t>
        </r>
      </text>
    </comment>
    <comment ref="O12" authorId="0">
      <text>
        <r>
          <rPr>
            <b/>
            <sz val="9"/>
            <color indexed="81"/>
            <rFont val="Tahoma"/>
            <family val="2"/>
          </rPr>
          <t>Tech Bench x64:</t>
        </r>
        <r>
          <rPr>
            <sz val="9"/>
            <color indexed="81"/>
            <rFont val="Tahoma"/>
            <family val="2"/>
          </rPr>
          <t xml:space="preserve">
these are total calves weaned and sold</t>
        </r>
      </text>
    </comment>
    <comment ref="Z12" authorId="0">
      <text>
        <r>
          <rPr>
            <b/>
            <sz val="9"/>
            <color indexed="81"/>
            <rFont val="Tahoma"/>
            <family val="2"/>
          </rPr>
          <t>Tech Bench x64:</t>
        </r>
        <r>
          <rPr>
            <sz val="9"/>
            <color indexed="81"/>
            <rFont val="Tahoma"/>
            <family val="2"/>
          </rPr>
          <t xml:space="preserve">
these are total calves weaned and sold</t>
        </r>
      </text>
    </comment>
    <comment ref="AK12" authorId="0">
      <text>
        <r>
          <rPr>
            <b/>
            <sz val="9"/>
            <color indexed="81"/>
            <rFont val="Tahoma"/>
            <family val="2"/>
          </rPr>
          <t>Tech Bench x64:</t>
        </r>
        <r>
          <rPr>
            <sz val="9"/>
            <color indexed="81"/>
            <rFont val="Tahoma"/>
            <family val="2"/>
          </rPr>
          <t xml:space="preserve">
these are total calves weaned and sold</t>
        </r>
      </text>
    </comment>
    <comment ref="I17" authorId="0">
      <text>
        <r>
          <rPr>
            <b/>
            <sz val="9"/>
            <color indexed="81"/>
            <rFont val="Tahoma"/>
            <family val="2"/>
          </rPr>
          <t>Tech Bench x64:</t>
        </r>
        <r>
          <rPr>
            <sz val="9"/>
            <color indexed="81"/>
            <rFont val="Tahoma"/>
            <family val="2"/>
          </rPr>
          <t xml:space="preserve">
this IS weighted, and does change with the price of the calf</t>
        </r>
      </text>
    </comment>
    <comment ref="T17" authorId="0">
      <text>
        <r>
          <rPr>
            <b/>
            <sz val="9"/>
            <color indexed="81"/>
            <rFont val="Tahoma"/>
            <family val="2"/>
          </rPr>
          <t>Tech Bench x64:</t>
        </r>
        <r>
          <rPr>
            <sz val="9"/>
            <color indexed="81"/>
            <rFont val="Tahoma"/>
            <family val="2"/>
          </rPr>
          <t xml:space="preserve">
this IS weighted, and does change with the price of the calf</t>
        </r>
      </text>
    </comment>
    <comment ref="AE17" authorId="0">
      <text>
        <r>
          <rPr>
            <b/>
            <sz val="9"/>
            <color indexed="81"/>
            <rFont val="Tahoma"/>
            <family val="2"/>
          </rPr>
          <t>Tech Bench x64:</t>
        </r>
        <r>
          <rPr>
            <sz val="9"/>
            <color indexed="81"/>
            <rFont val="Tahoma"/>
            <family val="2"/>
          </rPr>
          <t xml:space="preserve">
this IS weighted, and does change with the price of the calf</t>
        </r>
      </text>
    </comment>
    <comment ref="AP17" authorId="0">
      <text>
        <r>
          <rPr>
            <b/>
            <sz val="9"/>
            <color indexed="81"/>
            <rFont val="Tahoma"/>
            <family val="2"/>
          </rPr>
          <t>Tech Bench x64:</t>
        </r>
        <r>
          <rPr>
            <sz val="9"/>
            <color indexed="81"/>
            <rFont val="Tahoma"/>
            <family val="2"/>
          </rPr>
          <t xml:space="preserve">
this IS weighted, and does change with the price of the calf</t>
        </r>
      </text>
    </comment>
    <comment ref="D19" authorId="0">
      <text>
        <r>
          <rPr>
            <b/>
            <sz val="9"/>
            <color indexed="81"/>
            <rFont val="Tahoma"/>
            <family val="2"/>
          </rPr>
          <t>Tech Bench x64:</t>
        </r>
        <r>
          <rPr>
            <sz val="9"/>
            <color indexed="81"/>
            <rFont val="Tahoma"/>
            <family val="2"/>
          </rPr>
          <t xml:space="preserve">
this is the net average calf value</t>
        </r>
      </text>
    </comment>
    <comment ref="O19" authorId="0">
      <text>
        <r>
          <rPr>
            <b/>
            <sz val="9"/>
            <color indexed="81"/>
            <rFont val="Tahoma"/>
            <family val="2"/>
          </rPr>
          <t>Tech Bench x64:</t>
        </r>
        <r>
          <rPr>
            <sz val="9"/>
            <color indexed="81"/>
            <rFont val="Tahoma"/>
            <family val="2"/>
          </rPr>
          <t xml:space="preserve">
this is the net average calf value</t>
        </r>
      </text>
    </comment>
    <comment ref="Z19" authorId="0">
      <text>
        <r>
          <rPr>
            <b/>
            <sz val="9"/>
            <color indexed="81"/>
            <rFont val="Tahoma"/>
            <family val="2"/>
          </rPr>
          <t>Tech Bench x64:</t>
        </r>
        <r>
          <rPr>
            <sz val="9"/>
            <color indexed="81"/>
            <rFont val="Tahoma"/>
            <family val="2"/>
          </rPr>
          <t xml:space="preserve">
this is the net average calf value</t>
        </r>
      </text>
    </comment>
    <comment ref="AK19" authorId="0">
      <text>
        <r>
          <rPr>
            <b/>
            <sz val="9"/>
            <color indexed="81"/>
            <rFont val="Tahoma"/>
            <family val="2"/>
          </rPr>
          <t>Tech Bench x64:</t>
        </r>
        <r>
          <rPr>
            <sz val="9"/>
            <color indexed="81"/>
            <rFont val="Tahoma"/>
            <family val="2"/>
          </rPr>
          <t xml:space="preserve">
this is the net average calf value</t>
        </r>
      </text>
    </comment>
  </commentList>
</comments>
</file>

<file path=xl/sharedStrings.xml><?xml version="1.0" encoding="utf-8"?>
<sst xmlns="http://schemas.openxmlformats.org/spreadsheetml/2006/main" count="223" uniqueCount="124">
  <si>
    <t>Cull Value</t>
  </si>
  <si>
    <t>Net Calf Value</t>
  </si>
  <si>
    <t>Start 750 lb calf</t>
  </si>
  <si>
    <t>First calf 12 months later</t>
  </si>
  <si>
    <t xml:space="preserve">Weaned calf 6-7 months </t>
  </si>
  <si>
    <t>So first 1.5 years = 1 calf</t>
  </si>
  <si>
    <t>Calving + Weaning %</t>
  </si>
  <si>
    <t>Maintenance Cost per Year</t>
  </si>
  <si>
    <t>Pasture Rent</t>
  </si>
  <si>
    <t>acre</t>
  </si>
  <si>
    <t>Pasture Maintenance</t>
  </si>
  <si>
    <t>Hay</t>
  </si>
  <si>
    <t>ton</t>
  </si>
  <si>
    <t>Mineral</t>
  </si>
  <si>
    <t xml:space="preserve">Vet </t>
  </si>
  <si>
    <t>Breeding</t>
  </si>
  <si>
    <t>Marketing</t>
  </si>
  <si>
    <t>Machinery</t>
  </si>
  <si>
    <t>Other</t>
  </si>
  <si>
    <t>Total Per Cow</t>
  </si>
  <si>
    <t>Interest on Heifer %</t>
  </si>
  <si>
    <t>Years in Production</t>
  </si>
  <si>
    <t>Cull Value (adjusted for death loss)</t>
  </si>
  <si>
    <t>Breeding Stock Death Loss (over lifetime)</t>
  </si>
  <si>
    <t>Round Purchase Price to the nearest:</t>
  </si>
  <si>
    <t>Heifer Price</t>
  </si>
  <si>
    <t>Increment for changing heifer price:</t>
  </si>
  <si>
    <t>Weighted avg. price for steer/heifers:</t>
  </si>
  <si>
    <t>Round weighted avg. price to nearest:</t>
  </si>
  <si>
    <t>Cow maintenance cost</t>
  </si>
  <si>
    <t>Round cow maintenance to nearest:</t>
  </si>
  <si>
    <t>Heifer Purchase Price</t>
  </si>
  <si>
    <t>Table Stuff… To Be Hidden</t>
  </si>
  <si>
    <r>
      <t xml:space="preserve">   </t>
    </r>
    <r>
      <rPr>
        <u/>
        <sz val="10"/>
        <rFont val="Arial"/>
        <family val="2"/>
      </rPr>
      <t>Notes:</t>
    </r>
  </si>
  <si>
    <t>Weaned Calves:</t>
  </si>
  <si>
    <t>Projected Costs and Returns per Cow:</t>
  </si>
  <si>
    <t>Some type of title</t>
  </si>
  <si>
    <t>Total Costs per Year</t>
  </si>
  <si>
    <t>Profit per Cow per Year</t>
  </si>
  <si>
    <t>Profit per Cow, Lifetime</t>
  </si>
  <si>
    <t>Total Intr + Depr per Year</t>
  </si>
  <si>
    <t>Interest per Year</t>
  </si>
  <si>
    <t>Steer Calf Weight (lbs)</t>
  </si>
  <si>
    <t>Heifer Calf Weight (lbs)</t>
  </si>
  <si>
    <t>Weighted Avg. Weight (lbs)</t>
  </si>
  <si>
    <t>Steer Calf Price ($/lb)</t>
  </si>
  <si>
    <t>Heifer Calf Price ($/lb)</t>
  </si>
  <si>
    <t>Weighted Avg. Price ($/lb)</t>
  </si>
  <si>
    <t>Total Calves Weaned &amp; Sold</t>
  </si>
  <si>
    <t>Expected Returns per Cow:</t>
  </si>
  <si>
    <t>Net Calf Value per Year</t>
  </si>
  <si>
    <t>Depreciation Breeding Stock per Year</t>
  </si>
  <si>
    <t>Weighted Avg. Calf Weight (lbs)</t>
  </si>
  <si>
    <t>Weighted Avg. Calf Price ($/lb)</t>
  </si>
  <si>
    <t>Cow Maintenance Cost per Year</t>
  </si>
  <si>
    <t>Increment for changing weighted avg.:</t>
  </si>
  <si>
    <t>Conditional Formatting:</t>
  </si>
  <si>
    <t>On the "Home" tab click on "Conditional Formatting"</t>
  </si>
  <si>
    <t>From there you can create a new rule, clear rules (delete all), or manage rules (delete, apply to more cells, etc.)</t>
  </si>
  <si>
    <t>Select the cells that you want to change</t>
  </si>
  <si>
    <t>LOW Cost Scenario</t>
  </si>
  <si>
    <t>HIGH Cost Scenario</t>
  </si>
  <si>
    <t>MEDIUM Cost Scenario</t>
  </si>
  <si>
    <t xml:space="preserve">If ANY formulas are changed in the BredHeifer (Public) sheet, double check this sheet. </t>
  </si>
  <si>
    <t>Increment for changing cow main.:</t>
  </si>
  <si>
    <t>These came from the BredHeifer Sheet</t>
  </si>
  <si>
    <t>Enter Below</t>
  </si>
  <si>
    <t>Use Table</t>
  </si>
  <si>
    <t>Cow Maintenance Cost</t>
  </si>
  <si>
    <t xml:space="preserve">There should be a word document with more detailed instructions. </t>
  </si>
  <si>
    <t>Weaning Rate</t>
  </si>
  <si>
    <t>Net Calf Value Adj for Weaning Rate</t>
  </si>
  <si>
    <t xml:space="preserve"> </t>
  </si>
  <si>
    <t xml:space="preserve">   Steer Calf Weight (lbs)</t>
  </si>
  <si>
    <t xml:space="preserve">   Heifer Calf Weight (lbs)</t>
  </si>
  <si>
    <t xml:space="preserve">   Steer Calf Price ($/lb)</t>
  </si>
  <si>
    <t xml:space="preserve">   Heifer Calf Price ($/lb)</t>
  </si>
  <si>
    <t>****Scroll DOWN to see the tables****</t>
  </si>
  <si>
    <t>****Scroll RIGHT to see all of the cost scenarios****</t>
  </si>
  <si>
    <t>Estimate cow maintenance costs below or use</t>
  </si>
  <si>
    <r>
      <t>table to the right?</t>
    </r>
    <r>
      <rPr>
        <i/>
        <sz val="10"/>
        <rFont val="Arial"/>
        <family val="2"/>
      </rPr>
      <t xml:space="preserve"> (select one)</t>
    </r>
  </si>
  <si>
    <t>In this workbook, the only cells with conditional formatting are on the Bred Heifer sheet, under the questions about cow maintenance cost</t>
  </si>
  <si>
    <t>Notes:</t>
  </si>
  <si>
    <t>Trucking</t>
  </si>
  <si>
    <t>Labor</t>
  </si>
  <si>
    <t>hours</t>
  </si>
  <si>
    <t>Select Costs per Cow per Year</t>
  </si>
  <si>
    <t>Interest on Heifer Purchase</t>
  </si>
  <si>
    <t>Depreciation/Cow/Year</t>
  </si>
  <si>
    <t>Interest/Cow/Year</t>
  </si>
  <si>
    <t>Gross Return/Cow/Year</t>
  </si>
  <si>
    <t>Cow Maintenance Cost/Cow/Year</t>
  </si>
  <si>
    <t>Total Specified Costs/Cow/Year</t>
  </si>
  <si>
    <t>Bred Heifer Profitability Estimation</t>
  </si>
  <si>
    <t>Depreciation = Purchase Price - Modified Cull value divided by years in production.</t>
  </si>
  <si>
    <t>These are for specified maintenance costs and may or may not include land and labor.</t>
  </si>
  <si>
    <t>Average interest charge per year over the life of the cow.</t>
  </si>
  <si>
    <t>You need to decide if it is high enough to compensate you for these costs as well as risk.</t>
  </si>
  <si>
    <t>If it doesn't, then the purchase price is too high to justify the investment.</t>
  </si>
  <si>
    <t>Heifer/Cow Information:</t>
  </si>
  <si>
    <t>Expected number of breeding years</t>
  </si>
  <si>
    <t>Annual probability of weaning a calf for sale</t>
  </si>
  <si>
    <t>Choose one of two options here</t>
  </si>
  <si>
    <t>Non-hay production; hay machinery costs should be included as part of hay cost.</t>
  </si>
  <si>
    <t>If labor isn't included here then the gross return needs to be high enough to compensate for this cost.</t>
  </si>
  <si>
    <t>If pasture rent isn't included here then the gross return needs to be high enough to compensate for this cost.</t>
  </si>
  <si>
    <t>For more information, contact:</t>
  </si>
  <si>
    <t>Greg Halich</t>
  </si>
  <si>
    <t>Samantha Kindred</t>
  </si>
  <si>
    <t>Assistant Extension Professor</t>
  </si>
  <si>
    <t>Extension Associate</t>
  </si>
  <si>
    <t>Greg.Halich@uky.edu</t>
  </si>
  <si>
    <t>Samantha.Kindred@uky.edu</t>
  </si>
  <si>
    <t>859-257-8841</t>
  </si>
  <si>
    <t>859-257-2996</t>
  </si>
  <si>
    <t>Associate Extension Professor</t>
  </si>
  <si>
    <t>Kenny Burdine</t>
  </si>
  <si>
    <t>kburdine@uky.edu</t>
  </si>
  <si>
    <t>859-257-7273</t>
  </si>
  <si>
    <t>This spreadsheet is designed to evaluate the investment potential for bred heifers.  The user estimates expected revenue based on a series of input questions as well as cow maintenance costs.  The spreadsheet then estimates the gross profit per year based on this input.  The user can then decide if this gross profit is high enough to justify the investment.</t>
  </si>
  <si>
    <t>Return to management/risk and it also needs to compensate you for all non-specified costs such as land and labor.</t>
  </si>
  <si>
    <t xml:space="preserve">Note: Gross profit is a return to management/risk and would also be a return to labor and/or land if they are not specified as costs above.  </t>
  </si>
  <si>
    <t>altered gross profit for rounded average price per pound and cow maintenance</t>
  </si>
  <si>
    <t>Last updated: 1/14/2016</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</si>
</sst>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4" formatCode="_(&quot;$&quot;* #,##0.00_);_(&quot;$&quot;* \(#,##0.00\);_(&quot;$&quot;* &quot;-&quot;??_);_(@_)"/>
    <numFmt numFmtId="164" formatCode="&quot;$&quot;#,##0"/>
    <numFmt numFmtId="165" formatCode="0.0%"/>
    <numFmt numFmtId="166" formatCode="0.0"/>
    <numFmt numFmtId="167" formatCode="&quot;$&quot;#,##0.00"/>
  </numFmts>
  <fonts count="19" x14ac:knownFonts="1">
    <font>
      <sz val="10"/>
      <name val="Arial"/>
    </font>
    <font>
      <sz val="10"/>
      <name val="Arial"/>
      <family val="2"/>
    </font>
    <font>
      <b/>
      <sz val="10"/>
      <color rgb="FF0070C0"/>
      <name val="Arial"/>
      <family val="2"/>
    </font>
    <font>
      <b/>
      <sz val="10"/>
      <name val="Arial"/>
      <family val="2"/>
    </font>
    <font>
      <u/>
      <sz val="10"/>
      <name val="Arial"/>
      <family val="2"/>
    </font>
    <font>
      <b/>
      <i/>
      <sz val="10"/>
      <name val="Arial"/>
      <family val="2"/>
    </font>
    <font>
      <i/>
      <sz val="10"/>
      <name val="Arial"/>
      <family val="2"/>
    </font>
    <font>
      <b/>
      <sz val="12"/>
      <name val="Arial"/>
      <family val="2"/>
    </font>
    <font>
      <b/>
      <sz val="10"/>
      <color indexed="12"/>
      <name val="Arial"/>
      <family val="2"/>
    </font>
    <font>
      <b/>
      <u/>
      <sz val="10"/>
      <name val="Arial"/>
      <family val="2"/>
    </font>
    <font>
      <sz val="10"/>
      <name val="Arial"/>
      <family val="2"/>
    </font>
    <font>
      <sz val="9"/>
      <color indexed="81"/>
      <name val="Tahoma"/>
      <family val="2"/>
    </font>
    <font>
      <b/>
      <sz val="9"/>
      <color indexed="81"/>
      <name val="Tahoma"/>
      <family val="2"/>
    </font>
    <font>
      <b/>
      <sz val="11"/>
      <name val="Arial"/>
      <family val="2"/>
    </font>
    <font>
      <b/>
      <sz val="10"/>
      <color rgb="FFFF0000"/>
      <name val="Arial"/>
      <family val="2"/>
    </font>
    <font>
      <i/>
      <u/>
      <sz val="10"/>
      <name val="Arial"/>
      <family val="2"/>
    </font>
    <font>
      <b/>
      <sz val="16"/>
      <name val="Arial"/>
      <family val="2"/>
    </font>
    <font>
      <b/>
      <sz val="18"/>
      <name val="Arial"/>
      <family val="2"/>
    </font>
    <font>
      <u/>
      <sz val="10"/>
      <color indexed="12"/>
      <name val="Arial"/>
      <family val="2"/>
    </font>
  </fonts>
  <fills count="6">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theme="4" tint="0.79998168889431442"/>
        <bgColor indexed="64"/>
      </patternFill>
    </fill>
    <fill>
      <patternFill patternType="solid">
        <fgColor indexed="42"/>
        <bgColor indexed="64"/>
      </patternFill>
    </fill>
  </fills>
  <borders count="38">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thick">
        <color auto="1"/>
      </left>
      <right/>
      <top style="thin">
        <color auto="1"/>
      </top>
      <bottom style="thick">
        <color auto="1"/>
      </bottom>
      <diagonal/>
    </border>
    <border>
      <left/>
      <right/>
      <top style="thin">
        <color auto="1"/>
      </top>
      <bottom style="thick">
        <color auto="1"/>
      </bottom>
      <diagonal/>
    </border>
    <border>
      <left/>
      <right style="thick">
        <color auto="1"/>
      </right>
      <top style="thin">
        <color auto="1"/>
      </top>
      <bottom style="thick">
        <color auto="1"/>
      </bottom>
      <diagonal/>
    </border>
    <border>
      <left/>
      <right/>
      <top/>
      <bottom style="thin">
        <color auto="1"/>
      </bottom>
      <diagonal/>
    </border>
    <border>
      <left/>
      <right style="thick">
        <color auto="1"/>
      </right>
      <top/>
      <bottom style="thin">
        <color auto="1"/>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double">
        <color auto="1"/>
      </bottom>
      <diagonal/>
    </border>
    <border>
      <left style="thin">
        <color auto="1"/>
      </left>
      <right style="thick">
        <color auto="1"/>
      </right>
      <top style="thin">
        <color auto="1"/>
      </top>
      <bottom style="double">
        <color auto="1"/>
      </bottom>
      <diagonal/>
    </border>
    <border>
      <left style="thick">
        <color auto="1"/>
      </left>
      <right style="double">
        <color auto="1"/>
      </right>
      <top style="thick">
        <color auto="1"/>
      </top>
      <bottom style="thin">
        <color auto="1"/>
      </bottom>
      <diagonal/>
    </border>
    <border>
      <left/>
      <right style="thin">
        <color auto="1"/>
      </right>
      <top style="thin">
        <color auto="1"/>
      </top>
      <bottom style="double">
        <color auto="1"/>
      </bottom>
      <diagonal/>
    </border>
    <border>
      <left/>
      <right style="thin">
        <color auto="1"/>
      </right>
      <top/>
      <bottom style="thin">
        <color auto="1"/>
      </bottom>
      <diagonal/>
    </border>
    <border>
      <left style="thick">
        <color auto="1"/>
      </left>
      <right style="double">
        <color auto="1"/>
      </right>
      <top style="thin">
        <color auto="1"/>
      </top>
      <bottom style="double">
        <color auto="1"/>
      </bottom>
      <diagonal/>
    </border>
    <border>
      <left style="thick">
        <color auto="1"/>
      </left>
      <right style="double">
        <color auto="1"/>
      </right>
      <top/>
      <bottom style="thin">
        <color auto="1"/>
      </bottom>
      <diagonal/>
    </border>
    <border>
      <left style="thick">
        <color auto="1"/>
      </left>
      <right style="double">
        <color auto="1"/>
      </right>
      <top style="thin">
        <color auto="1"/>
      </top>
      <bottom style="thin">
        <color auto="1"/>
      </bottom>
      <diagonal/>
    </border>
    <border>
      <left/>
      <right style="thin">
        <color indexed="64"/>
      </right>
      <top/>
      <bottom/>
      <diagonal/>
    </border>
    <border>
      <left style="thin">
        <color indexed="64"/>
      </left>
      <right/>
      <top/>
      <bottom/>
      <diagonal/>
    </border>
    <border>
      <left style="thick">
        <color auto="1"/>
      </left>
      <right/>
      <top/>
      <bottom style="thin">
        <color auto="1"/>
      </bottom>
      <diagonal/>
    </border>
    <border>
      <left style="thin">
        <color auto="1"/>
      </left>
      <right style="thick">
        <color auto="1"/>
      </right>
      <top/>
      <bottom style="thin">
        <color auto="1"/>
      </bottom>
      <diagonal/>
    </border>
    <border>
      <left style="thick">
        <color auto="1"/>
      </left>
      <right/>
      <top style="thin">
        <color indexed="64"/>
      </top>
      <bottom style="thin">
        <color indexed="64"/>
      </bottom>
      <diagonal/>
    </border>
    <border>
      <left style="thick">
        <color auto="1"/>
      </left>
      <right style="thin">
        <color auto="1"/>
      </right>
      <top style="thin">
        <color auto="1"/>
      </top>
      <bottom style="thick">
        <color auto="1"/>
      </bottom>
      <diagonal/>
    </border>
    <border>
      <left style="thin">
        <color auto="1"/>
      </left>
      <right style="thin">
        <color auto="1"/>
      </right>
      <top style="thin">
        <color auto="1"/>
      </top>
      <bottom style="thick">
        <color auto="1"/>
      </bottom>
      <diagonal/>
    </border>
    <border>
      <left style="thin">
        <color auto="1"/>
      </left>
      <right style="thick">
        <color auto="1"/>
      </right>
      <top style="thin">
        <color auto="1"/>
      </top>
      <bottom style="thick">
        <color auto="1"/>
      </bottom>
      <diagonal/>
    </border>
    <border>
      <left style="thick">
        <color auto="1"/>
      </left>
      <right style="thin">
        <color auto="1"/>
      </right>
      <top style="thick">
        <color auto="1"/>
      </top>
      <bottom style="thick">
        <color auto="1"/>
      </bottom>
      <diagonal/>
    </border>
    <border>
      <left style="thin">
        <color auto="1"/>
      </left>
      <right style="thin">
        <color auto="1"/>
      </right>
      <top style="thick">
        <color auto="1"/>
      </top>
      <bottom style="thick">
        <color auto="1"/>
      </bottom>
      <diagonal/>
    </border>
    <border>
      <left style="thin">
        <color auto="1"/>
      </left>
      <right style="thick">
        <color auto="1"/>
      </right>
      <top style="thick">
        <color auto="1"/>
      </top>
      <bottom style="thick">
        <color auto="1"/>
      </bottom>
      <diagonal/>
    </border>
    <border>
      <left style="double">
        <color auto="1"/>
      </left>
      <right style="thin">
        <color auto="1"/>
      </right>
      <top style="double">
        <color auto="1"/>
      </top>
      <bottom style="thin">
        <color auto="1"/>
      </bottom>
      <diagonal/>
    </border>
    <border>
      <left/>
      <right style="thin">
        <color auto="1"/>
      </right>
      <top style="double">
        <color auto="1"/>
      </top>
      <bottom style="thin">
        <color auto="1"/>
      </bottom>
      <diagonal/>
    </border>
    <border>
      <left/>
      <right style="thick">
        <color auto="1"/>
      </right>
      <top style="double">
        <color auto="1"/>
      </top>
      <bottom style="thin">
        <color auto="1"/>
      </bottom>
      <diagonal/>
    </border>
    <border>
      <left style="double">
        <color auto="1"/>
      </left>
      <right style="thin">
        <color auto="1"/>
      </right>
      <top style="thin">
        <color auto="1"/>
      </top>
      <bottom style="thin">
        <color auto="1"/>
      </bottom>
      <diagonal/>
    </border>
    <border>
      <left/>
      <right style="thick">
        <color auto="1"/>
      </right>
      <top style="thin">
        <color auto="1"/>
      </top>
      <bottom style="thin">
        <color auto="1"/>
      </bottom>
      <diagonal/>
    </border>
    <border>
      <left style="thin">
        <color indexed="64"/>
      </left>
      <right/>
      <top/>
      <bottom style="thin">
        <color indexed="64"/>
      </bottom>
      <diagonal/>
    </border>
  </borders>
  <cellStyleXfs count="4">
    <xf numFmtId="0" fontId="0" fillId="0" borderId="0"/>
    <xf numFmtId="44" fontId="10" fillId="0" borderId="0" applyFont="0" applyFill="0" applyBorder="0" applyAlignment="0" applyProtection="0"/>
    <xf numFmtId="9" fontId="10" fillId="0" borderId="0" applyFont="0" applyFill="0" applyBorder="0" applyAlignment="0" applyProtection="0"/>
    <xf numFmtId="0" fontId="18" fillId="0" borderId="0" applyNumberFormat="0" applyFill="0" applyBorder="0" applyAlignment="0" applyProtection="0">
      <alignment vertical="top"/>
      <protection locked="0"/>
    </xf>
  </cellStyleXfs>
  <cellXfs count="186">
    <xf numFmtId="0" fontId="0" fillId="0" borderId="0" xfId="0"/>
    <xf numFmtId="0" fontId="1" fillId="0" borderId="0" xfId="0" applyFont="1"/>
    <xf numFmtId="167" fontId="0" fillId="0" borderId="13" xfId="0" applyNumberFormat="1" applyBorder="1" applyAlignment="1">
      <alignment horizontal="center" vertical="center"/>
    </xf>
    <xf numFmtId="167" fontId="0" fillId="0" borderId="14" xfId="0" applyNumberFormat="1" applyBorder="1" applyAlignment="1">
      <alignment horizontal="center" vertical="center"/>
    </xf>
    <xf numFmtId="167" fontId="0" fillId="0" borderId="16" xfId="0" applyNumberFormat="1" applyBorder="1" applyAlignment="1">
      <alignment horizontal="center" vertical="center"/>
    </xf>
    <xf numFmtId="164" fontId="0" fillId="0" borderId="15" xfId="0" applyNumberFormat="1" applyBorder="1" applyAlignment="1">
      <alignment horizontal="center" vertical="center"/>
    </xf>
    <xf numFmtId="164" fontId="0" fillId="0" borderId="19" xfId="0" applyNumberFormat="1" applyBorder="1" applyAlignment="1">
      <alignment horizontal="center" vertical="center"/>
    </xf>
    <xf numFmtId="164" fontId="0" fillId="0" borderId="20" xfId="0" applyNumberFormat="1" applyBorder="1" applyAlignment="1">
      <alignment horizontal="center" vertical="center"/>
    </xf>
    <xf numFmtId="164" fontId="6" fillId="0" borderId="2" xfId="0" applyNumberFormat="1" applyFont="1" applyBorder="1" applyAlignment="1">
      <alignment horizontal="center" vertical="center"/>
    </xf>
    <xf numFmtId="164" fontId="6" fillId="0" borderId="3" xfId="0" applyNumberFormat="1" applyFont="1" applyBorder="1" applyAlignment="1">
      <alignment horizontal="center" vertical="center"/>
    </xf>
    <xf numFmtId="0" fontId="3" fillId="0" borderId="0" xfId="0" applyFont="1"/>
    <xf numFmtId="0" fontId="0" fillId="0" borderId="0" xfId="0" applyAlignment="1">
      <alignment horizontal="center" vertical="center"/>
    </xf>
    <xf numFmtId="164" fontId="2" fillId="0" borderId="0" xfId="0" applyNumberFormat="1" applyFont="1" applyAlignment="1">
      <alignment horizontal="center" vertical="center"/>
    </xf>
    <xf numFmtId="164" fontId="1" fillId="0" borderId="0" xfId="0" applyNumberFormat="1" applyFont="1" applyAlignment="1">
      <alignment horizontal="center" vertical="center"/>
    </xf>
    <xf numFmtId="166" fontId="1" fillId="0" borderId="0" xfId="0" applyNumberFormat="1" applyFont="1" applyAlignment="1">
      <alignment horizontal="center" vertical="center"/>
    </xf>
    <xf numFmtId="164" fontId="5" fillId="0" borderId="0" xfId="0" applyNumberFormat="1" applyFont="1" applyAlignment="1">
      <alignment horizontal="center" vertical="center"/>
    </xf>
    <xf numFmtId="0" fontId="1" fillId="0" borderId="0" xfId="0" applyNumberFormat="1" applyFont="1" applyFill="1" applyAlignment="1">
      <alignment horizontal="center" vertical="center"/>
    </xf>
    <xf numFmtId="167" fontId="1" fillId="0" borderId="0" xfId="0" applyNumberFormat="1" applyFont="1" applyAlignment="1">
      <alignment horizontal="center" vertical="center"/>
    </xf>
    <xf numFmtId="164" fontId="0" fillId="0" borderId="0" xfId="0" applyNumberFormat="1" applyAlignment="1">
      <alignment horizontal="center" vertical="center"/>
    </xf>
    <xf numFmtId="164" fontId="4" fillId="0" borderId="0" xfId="0" applyNumberFormat="1" applyFont="1" applyAlignment="1">
      <alignment horizontal="center" vertical="center"/>
    </xf>
    <xf numFmtId="164" fontId="5" fillId="3" borderId="0" xfId="0" applyNumberFormat="1" applyFont="1" applyFill="1" applyAlignment="1">
      <alignment horizontal="center" vertical="center"/>
    </xf>
    <xf numFmtId="0" fontId="0" fillId="0" borderId="0" xfId="0" applyAlignment="1">
      <alignment horizontal="left" vertical="center"/>
    </xf>
    <xf numFmtId="0" fontId="1" fillId="4" borderId="0" xfId="0" applyFont="1" applyFill="1" applyAlignment="1">
      <alignment horizontal="left" vertical="center"/>
    </xf>
    <xf numFmtId="0" fontId="0" fillId="4" borderId="0" xfId="0" applyFill="1" applyAlignment="1">
      <alignment horizontal="left" vertical="center"/>
    </xf>
    <xf numFmtId="0" fontId="1" fillId="0" borderId="0" xfId="0" applyFont="1" applyAlignment="1">
      <alignment horizontal="left" vertical="center"/>
    </xf>
    <xf numFmtId="164" fontId="2" fillId="0" borderId="0" xfId="0" applyNumberFormat="1" applyFont="1" applyAlignment="1">
      <alignment horizontal="left" vertical="center"/>
    </xf>
    <xf numFmtId="166" fontId="2" fillId="0" borderId="0" xfId="0" applyNumberFormat="1" applyFont="1" applyAlignment="1">
      <alignment horizontal="left" vertical="center"/>
    </xf>
    <xf numFmtId="9" fontId="2" fillId="0" borderId="0" xfId="0" applyNumberFormat="1" applyFont="1" applyAlignment="1">
      <alignment horizontal="left" vertical="center"/>
    </xf>
    <xf numFmtId="166" fontId="1" fillId="0" borderId="0" xfId="0" applyNumberFormat="1" applyFont="1" applyAlignment="1">
      <alignment horizontal="left" vertical="center"/>
    </xf>
    <xf numFmtId="164" fontId="5" fillId="4" borderId="0" xfId="0" applyNumberFormat="1" applyFont="1" applyFill="1" applyAlignment="1">
      <alignment horizontal="left" vertical="center"/>
    </xf>
    <xf numFmtId="164" fontId="5" fillId="0" borderId="0" xfId="0" applyNumberFormat="1" applyFont="1" applyAlignment="1">
      <alignment horizontal="left" vertical="center"/>
    </xf>
    <xf numFmtId="1" fontId="2" fillId="0" borderId="0" xfId="0" applyNumberFormat="1" applyFont="1" applyAlignment="1">
      <alignment horizontal="left" vertical="center"/>
    </xf>
    <xf numFmtId="0" fontId="1" fillId="0" borderId="0" xfId="0" applyFont="1" applyFill="1" applyAlignment="1">
      <alignment horizontal="left" vertical="center"/>
    </xf>
    <xf numFmtId="0" fontId="2" fillId="0" borderId="0" xfId="0" applyNumberFormat="1" applyFont="1" applyAlignment="1">
      <alignment horizontal="left" vertical="center"/>
    </xf>
    <xf numFmtId="0" fontId="1" fillId="0" borderId="0" xfId="0" applyNumberFormat="1" applyFont="1" applyFill="1" applyAlignment="1">
      <alignment horizontal="left" vertical="center"/>
    </xf>
    <xf numFmtId="164" fontId="1" fillId="0" borderId="0" xfId="0" applyNumberFormat="1" applyFont="1" applyFill="1" applyAlignment="1">
      <alignment horizontal="left" vertical="center"/>
    </xf>
    <xf numFmtId="0" fontId="5" fillId="0" borderId="0" xfId="0" applyFont="1" applyAlignment="1">
      <alignment horizontal="left" vertical="center"/>
    </xf>
    <xf numFmtId="0" fontId="0" fillId="0" borderId="0" xfId="0" applyFill="1" applyAlignment="1">
      <alignment horizontal="left" vertical="center"/>
    </xf>
    <xf numFmtId="164" fontId="5" fillId="0" borderId="0" xfId="0" applyNumberFormat="1" applyFont="1" applyFill="1" applyAlignment="1">
      <alignment horizontal="center" vertical="center"/>
    </xf>
    <xf numFmtId="164" fontId="3" fillId="0" borderId="20" xfId="0" applyNumberFormat="1" applyFont="1" applyFill="1" applyBorder="1" applyAlignment="1">
      <alignment horizontal="center" vertical="center"/>
    </xf>
    <xf numFmtId="167" fontId="3" fillId="0" borderId="13" xfId="0" applyNumberFormat="1" applyFont="1" applyFill="1" applyBorder="1" applyAlignment="1">
      <alignment horizontal="center" vertical="center"/>
    </xf>
    <xf numFmtId="164" fontId="3" fillId="0" borderId="0" xfId="0" applyNumberFormat="1" applyFont="1" applyAlignment="1">
      <alignment horizontal="center" vertical="center"/>
    </xf>
    <xf numFmtId="0" fontId="0" fillId="0" borderId="21" xfId="0" applyBorder="1"/>
    <xf numFmtId="0" fontId="0" fillId="0" borderId="21" xfId="0" applyBorder="1" applyAlignment="1">
      <alignment horizontal="left" vertical="center"/>
    </xf>
    <xf numFmtId="166" fontId="3" fillId="0" borderId="0" xfId="0" applyNumberFormat="1" applyFont="1" applyAlignment="1">
      <alignment horizontal="center" vertical="center"/>
    </xf>
    <xf numFmtId="9" fontId="3" fillId="0" borderId="0" xfId="0" applyNumberFormat="1" applyFont="1" applyAlignment="1">
      <alignment horizontal="center" vertical="center"/>
    </xf>
    <xf numFmtId="167" fontId="3" fillId="0" borderId="0" xfId="0" applyNumberFormat="1" applyFont="1" applyFill="1" applyAlignment="1">
      <alignment horizontal="center" vertical="center"/>
    </xf>
    <xf numFmtId="165" fontId="3" fillId="0" borderId="0" xfId="0" applyNumberFormat="1" applyFont="1" applyAlignment="1">
      <alignment horizontal="center" vertical="center"/>
    </xf>
    <xf numFmtId="1" fontId="3" fillId="0" borderId="0" xfId="0" applyNumberFormat="1" applyFont="1" applyAlignment="1">
      <alignment horizontal="center" vertical="center"/>
    </xf>
    <xf numFmtId="9" fontId="3" fillId="0" borderId="0" xfId="2" applyFont="1" applyAlignment="1">
      <alignment horizontal="center" vertical="center"/>
    </xf>
    <xf numFmtId="164" fontId="3" fillId="2" borderId="0" xfId="0" applyNumberFormat="1" applyFont="1" applyFill="1" applyAlignment="1">
      <alignment horizontal="center" vertical="center"/>
    </xf>
    <xf numFmtId="0" fontId="1" fillId="0" borderId="0" xfId="0" applyFont="1" applyAlignment="1">
      <alignment horizontal="left" vertical="center"/>
    </xf>
    <xf numFmtId="0" fontId="1" fillId="0" borderId="0" xfId="0" applyFont="1" applyFill="1" applyAlignment="1">
      <alignment horizontal="left" vertical="center"/>
    </xf>
    <xf numFmtId="0" fontId="5" fillId="0" borderId="0" xfId="0" applyFont="1" applyAlignment="1">
      <alignment vertical="center"/>
    </xf>
    <xf numFmtId="0" fontId="1" fillId="0" borderId="0" xfId="0" applyFont="1" applyAlignment="1">
      <alignment vertical="center"/>
    </xf>
    <xf numFmtId="0" fontId="5" fillId="0" borderId="0" xfId="0" applyFont="1" applyAlignment="1">
      <alignment horizontal="left" vertical="center"/>
    </xf>
    <xf numFmtId="0" fontId="0" fillId="0" borderId="0" xfId="0" applyAlignment="1">
      <alignment vertical="center"/>
    </xf>
    <xf numFmtId="164" fontId="5" fillId="0" borderId="0" xfId="0" applyNumberFormat="1" applyFont="1" applyAlignment="1">
      <alignment vertical="center"/>
    </xf>
    <xf numFmtId="0" fontId="1" fillId="2" borderId="0" xfId="0" applyFont="1" applyFill="1" applyAlignment="1">
      <alignment vertical="center"/>
    </xf>
    <xf numFmtId="167" fontId="0" fillId="0" borderId="0" xfId="0" applyNumberFormat="1" applyAlignment="1">
      <alignment vertical="center"/>
    </xf>
    <xf numFmtId="164" fontId="0" fillId="0" borderId="0" xfId="0" applyNumberFormat="1" applyAlignment="1">
      <alignment vertical="center"/>
    </xf>
    <xf numFmtId="167" fontId="1" fillId="0" borderId="0" xfId="1" applyNumberFormat="1" applyFont="1" applyAlignment="1">
      <alignment vertical="center"/>
    </xf>
    <xf numFmtId="0" fontId="0" fillId="2" borderId="0" xfId="0" applyFill="1" applyAlignment="1">
      <alignment vertical="center"/>
    </xf>
    <xf numFmtId="165" fontId="3" fillId="0" borderId="21" xfId="0" applyNumberFormat="1" applyFont="1" applyBorder="1" applyAlignment="1">
      <alignment horizontal="center" vertical="center"/>
    </xf>
    <xf numFmtId="164" fontId="3" fillId="0" borderId="21" xfId="0" applyNumberFormat="1" applyFont="1" applyBorder="1" applyAlignment="1">
      <alignment horizontal="center" vertical="center"/>
    </xf>
    <xf numFmtId="164" fontId="1" fillId="0" borderId="21" xfId="0" applyNumberFormat="1" applyFont="1" applyBorder="1" applyAlignment="1">
      <alignment horizontal="center" vertical="center"/>
    </xf>
    <xf numFmtId="167" fontId="3" fillId="0" borderId="21" xfId="0" applyNumberFormat="1" applyFont="1" applyFill="1" applyBorder="1" applyAlignment="1">
      <alignment horizontal="center" vertical="center"/>
    </xf>
    <xf numFmtId="167" fontId="1" fillId="0" borderId="21" xfId="0" applyNumberFormat="1" applyFont="1" applyBorder="1" applyAlignment="1">
      <alignment horizontal="center" vertical="center"/>
    </xf>
    <xf numFmtId="164" fontId="5" fillId="0" borderId="2" xfId="0" applyNumberFormat="1" applyFont="1" applyFill="1" applyBorder="1" applyAlignment="1">
      <alignment horizontal="center" vertical="center"/>
    </xf>
    <xf numFmtId="166" fontId="8" fillId="0" borderId="12" xfId="0" applyNumberFormat="1" applyFont="1" applyBorder="1" applyAlignment="1" applyProtection="1">
      <alignment horizontal="center" vertical="center"/>
      <protection locked="0"/>
    </xf>
    <xf numFmtId="0" fontId="0" fillId="0" borderId="12" xfId="0" applyBorder="1" applyAlignment="1">
      <alignment horizontal="center" vertical="center"/>
    </xf>
    <xf numFmtId="167" fontId="8" fillId="0" borderId="12" xfId="0" applyNumberFormat="1" applyFont="1" applyBorder="1" applyAlignment="1" applyProtection="1">
      <alignment horizontal="right" vertical="center"/>
      <protection locked="0"/>
    </xf>
    <xf numFmtId="166" fontId="3" fillId="0" borderId="1" xfId="0" applyNumberFormat="1" applyFont="1" applyBorder="1" applyAlignment="1" applyProtection="1">
      <alignment horizontal="center" vertical="center"/>
      <protection locked="0"/>
    </xf>
    <xf numFmtId="167" fontId="8" fillId="0" borderId="1" xfId="0" applyNumberFormat="1" applyFont="1" applyBorder="1" applyAlignment="1" applyProtection="1">
      <alignment horizontal="right" vertical="center"/>
      <protection locked="0"/>
    </xf>
    <xf numFmtId="166" fontId="8" fillId="0" borderId="1" xfId="0" applyNumberFormat="1" applyFont="1" applyBorder="1" applyAlignment="1" applyProtection="1">
      <alignment horizontal="center" vertical="center"/>
      <protection locked="0"/>
    </xf>
    <xf numFmtId="166" fontId="0" fillId="0" borderId="1" xfId="0" applyNumberFormat="1" applyBorder="1" applyAlignment="1">
      <alignment horizontal="center" vertical="center"/>
    </xf>
    <xf numFmtId="0" fontId="6" fillId="0" borderId="0" xfId="0" applyFont="1" applyAlignment="1">
      <alignment horizontal="left" vertical="center"/>
    </xf>
    <xf numFmtId="164" fontId="6" fillId="0" borderId="0" xfId="0" applyNumberFormat="1" applyFont="1" applyAlignment="1">
      <alignment horizontal="center" vertical="center"/>
    </xf>
    <xf numFmtId="0" fontId="1" fillId="0" borderId="18" xfId="0" applyFont="1" applyFill="1" applyBorder="1" applyAlignment="1">
      <alignment horizontal="center" vertical="center" wrapText="1"/>
    </xf>
    <xf numFmtId="0" fontId="9" fillId="0" borderId="0" xfId="0" applyFont="1" applyFill="1" applyAlignment="1">
      <alignment horizontal="left" vertical="center"/>
    </xf>
    <xf numFmtId="0" fontId="3" fillId="0" borderId="0" xfId="0" applyFont="1" applyFill="1" applyAlignment="1">
      <alignment horizontal="left" vertical="center"/>
    </xf>
    <xf numFmtId="0" fontId="5" fillId="0" borderId="0" xfId="0" applyFont="1" applyAlignment="1">
      <alignment horizontal="left" vertical="center"/>
    </xf>
    <xf numFmtId="0" fontId="1" fillId="0" borderId="0" xfId="0" applyFont="1" applyAlignment="1">
      <alignment horizontal="left" vertical="center"/>
    </xf>
    <xf numFmtId="167" fontId="1" fillId="0" borderId="0" xfId="0" applyNumberFormat="1" applyFont="1" applyAlignment="1">
      <alignment horizontal="left" vertical="center"/>
    </xf>
    <xf numFmtId="166" fontId="1" fillId="0" borderId="0" xfId="0" applyNumberFormat="1" applyFont="1" applyAlignment="1">
      <alignment horizontal="right" vertical="center"/>
    </xf>
    <xf numFmtId="164" fontId="1" fillId="0" borderId="0" xfId="0" applyNumberFormat="1" applyFont="1" applyAlignment="1">
      <alignment horizontal="right" vertical="center"/>
    </xf>
    <xf numFmtId="164" fontId="0" fillId="0" borderId="0" xfId="0" applyNumberFormat="1" applyFill="1" applyAlignment="1">
      <alignment horizontal="right" vertical="center"/>
    </xf>
    <xf numFmtId="0" fontId="1" fillId="0" borderId="0" xfId="0" applyNumberFormat="1" applyFont="1" applyFill="1" applyAlignment="1">
      <alignment horizontal="right" vertical="center"/>
    </xf>
    <xf numFmtId="167" fontId="1" fillId="0" borderId="0" xfId="0" applyNumberFormat="1" applyFont="1" applyFill="1" applyAlignment="1">
      <alignment horizontal="right" vertical="center"/>
    </xf>
    <xf numFmtId="0" fontId="0" fillId="0" borderId="0" xfId="0" applyAlignment="1">
      <alignment horizontal="right" vertical="center"/>
    </xf>
    <xf numFmtId="164" fontId="5" fillId="0" borderId="0" xfId="0" applyNumberFormat="1" applyFont="1" applyFill="1" applyAlignment="1">
      <alignment horizontal="right" vertical="center"/>
    </xf>
    <xf numFmtId="164" fontId="5" fillId="0" borderId="0" xfId="0" applyNumberFormat="1" applyFont="1" applyAlignment="1">
      <alignment horizontal="right" vertical="center"/>
    </xf>
    <xf numFmtId="0" fontId="3" fillId="0" borderId="0" xfId="0" applyFont="1" applyFill="1" applyAlignment="1">
      <alignment horizontal="right" vertical="center"/>
    </xf>
    <xf numFmtId="0" fontId="3" fillId="0" borderId="0" xfId="0" applyFont="1" applyFill="1" applyAlignment="1">
      <alignment vertical="center"/>
    </xf>
    <xf numFmtId="0" fontId="14" fillId="0" borderId="0" xfId="0" applyFont="1"/>
    <xf numFmtId="0" fontId="0" fillId="0" borderId="1" xfId="0" applyBorder="1" applyAlignment="1">
      <alignment horizontal="center" vertical="center"/>
    </xf>
    <xf numFmtId="0" fontId="6" fillId="0" borderId="0" xfId="0" applyFont="1" applyFill="1" applyAlignment="1">
      <alignment horizontal="left" vertical="center"/>
    </xf>
    <xf numFmtId="0" fontId="0" fillId="0" borderId="0" xfId="0" applyBorder="1" applyAlignment="1">
      <alignment horizontal="center" vertical="center"/>
    </xf>
    <xf numFmtId="0" fontId="1" fillId="0" borderId="0" xfId="0" applyNumberFormat="1" applyFont="1" applyFill="1" applyAlignment="1">
      <alignment horizontal="left" vertical="center"/>
    </xf>
    <xf numFmtId="0" fontId="0" fillId="0" borderId="0" xfId="0" applyNumberFormat="1" applyAlignment="1">
      <alignment horizontal="left" vertical="center"/>
    </xf>
    <xf numFmtId="0" fontId="9" fillId="0" borderId="0" xfId="0" applyNumberFormat="1" applyFont="1" applyFill="1" applyAlignment="1">
      <alignment horizontal="left" vertical="center"/>
    </xf>
    <xf numFmtId="0" fontId="3" fillId="0" borderId="0" xfId="0" applyNumberFormat="1" applyFont="1" applyFill="1" applyAlignment="1">
      <alignment horizontal="left" vertical="center"/>
    </xf>
    <xf numFmtId="0" fontId="15" fillId="0" borderId="0" xfId="0" applyFont="1" applyFill="1" applyAlignment="1">
      <alignment vertical="center"/>
    </xf>
    <xf numFmtId="0" fontId="1" fillId="0" borderId="12" xfId="0" applyFont="1" applyBorder="1" applyAlignment="1">
      <alignment horizontal="center" vertical="center"/>
    </xf>
    <xf numFmtId="164" fontId="3" fillId="0" borderId="24" xfId="0" applyNumberFormat="1" applyFont="1" applyBorder="1" applyAlignment="1">
      <alignment horizontal="right" vertical="center"/>
    </xf>
    <xf numFmtId="164" fontId="3" fillId="0" borderId="3" xfId="0" applyNumberFormat="1" applyFont="1" applyBorder="1" applyAlignment="1">
      <alignment horizontal="right" vertical="center"/>
    </xf>
    <xf numFmtId="0" fontId="5" fillId="0" borderId="26" xfId="0" applyFont="1" applyBorder="1" applyAlignment="1">
      <alignment horizontal="left" vertical="center"/>
    </xf>
    <xf numFmtId="0" fontId="5" fillId="0" borderId="27" xfId="0" applyFont="1" applyBorder="1" applyAlignment="1">
      <alignment horizontal="left" vertical="center"/>
    </xf>
    <xf numFmtId="0" fontId="0" fillId="0" borderId="27" xfId="0" applyBorder="1" applyAlignment="1">
      <alignment horizontal="right" vertical="center"/>
    </xf>
    <xf numFmtId="0" fontId="0" fillId="0" borderId="27" xfId="0" applyBorder="1" applyAlignment="1">
      <alignment horizontal="center" vertical="center"/>
    </xf>
    <xf numFmtId="167" fontId="0" fillId="0" borderId="27" xfId="0" applyNumberFormat="1" applyBorder="1" applyAlignment="1">
      <alignment horizontal="right" vertical="center"/>
    </xf>
    <xf numFmtId="164" fontId="5" fillId="0" borderId="28" xfId="0" applyNumberFormat="1" applyFont="1" applyBorder="1" applyAlignment="1">
      <alignment horizontal="right" vertical="center"/>
    </xf>
    <xf numFmtId="164" fontId="1" fillId="0" borderId="0" xfId="0" applyNumberFormat="1" applyFont="1" applyFill="1" applyAlignment="1">
      <alignment horizontal="right" vertical="center"/>
    </xf>
    <xf numFmtId="164" fontId="4" fillId="0" borderId="0" xfId="0" applyNumberFormat="1" applyFont="1" applyAlignment="1">
      <alignment horizontal="right" vertical="center"/>
    </xf>
    <xf numFmtId="0" fontId="6" fillId="0" borderId="0" xfId="0" applyFont="1" applyAlignment="1">
      <alignment vertical="center"/>
    </xf>
    <xf numFmtId="0" fontId="0" fillId="0" borderId="0" xfId="0" applyFill="1"/>
    <xf numFmtId="0" fontId="18" fillId="0" borderId="0" xfId="3" applyFill="1" applyAlignment="1" applyProtection="1"/>
    <xf numFmtId="0" fontId="1" fillId="0" borderId="0" xfId="0" applyFont="1" applyFill="1"/>
    <xf numFmtId="0" fontId="1" fillId="0" borderId="25" xfId="0" applyFont="1" applyBorder="1" applyAlignment="1">
      <alignment horizontal="left" vertical="center"/>
    </xf>
    <xf numFmtId="0" fontId="1" fillId="0" borderId="2" xfId="0" applyFont="1" applyBorder="1" applyAlignment="1">
      <alignment horizontal="left" vertical="center"/>
    </xf>
    <xf numFmtId="164" fontId="6" fillId="0" borderId="32" xfId="0" applyNumberFormat="1" applyFont="1" applyBorder="1" applyAlignment="1">
      <alignment horizontal="center" vertical="center"/>
    </xf>
    <xf numFmtId="164" fontId="6" fillId="0" borderId="33" xfId="0" applyNumberFormat="1" applyFont="1" applyBorder="1" applyAlignment="1">
      <alignment horizontal="center" vertical="center"/>
    </xf>
    <xf numFmtId="164" fontId="6" fillId="0" borderId="34" xfId="0" applyNumberFormat="1" applyFont="1" applyBorder="1" applyAlignment="1">
      <alignment horizontal="center" vertical="center"/>
    </xf>
    <xf numFmtId="164" fontId="6" fillId="0" borderId="35" xfId="0" applyNumberFormat="1" applyFont="1" applyBorder="1" applyAlignment="1">
      <alignment horizontal="center" vertical="center"/>
    </xf>
    <xf numFmtId="164" fontId="6" fillId="0" borderId="36" xfId="0" applyNumberFormat="1" applyFont="1" applyBorder="1" applyAlignment="1">
      <alignment horizontal="center" vertical="center"/>
    </xf>
    <xf numFmtId="164" fontId="2" fillId="0" borderId="0" xfId="0" applyNumberFormat="1" applyFont="1" applyAlignment="1" applyProtection="1">
      <alignment horizontal="right" vertical="center"/>
      <protection locked="0"/>
    </xf>
    <xf numFmtId="166" fontId="2" fillId="0" borderId="0" xfId="0" applyNumberFormat="1" applyFont="1" applyAlignment="1" applyProtection="1">
      <alignment horizontal="right" vertical="center"/>
      <protection locked="0"/>
    </xf>
    <xf numFmtId="9" fontId="2" fillId="0" borderId="0" xfId="0" applyNumberFormat="1" applyFont="1" applyAlignment="1" applyProtection="1">
      <alignment horizontal="right" vertical="center"/>
      <protection locked="0"/>
    </xf>
    <xf numFmtId="165" fontId="2" fillId="0" borderId="0" xfId="0" applyNumberFormat="1" applyFont="1" applyAlignment="1" applyProtection="1">
      <alignment horizontal="right" vertical="center"/>
      <protection locked="0"/>
    </xf>
    <xf numFmtId="165" fontId="2" fillId="0" borderId="0" xfId="0" applyNumberFormat="1" applyFont="1" applyFill="1" applyAlignment="1" applyProtection="1">
      <alignment horizontal="right" vertical="center"/>
      <protection locked="0"/>
    </xf>
    <xf numFmtId="164" fontId="2" fillId="0" borderId="0" xfId="0" applyNumberFormat="1" applyFont="1" applyFill="1" applyAlignment="1" applyProtection="1">
      <alignment horizontal="right" vertical="center"/>
      <protection locked="0"/>
    </xf>
    <xf numFmtId="1" fontId="2" fillId="0" borderId="0" xfId="0" applyNumberFormat="1" applyFont="1" applyAlignment="1" applyProtection="1">
      <alignment horizontal="right" vertical="center"/>
      <protection locked="0"/>
    </xf>
    <xf numFmtId="0" fontId="2" fillId="0" borderId="0" xfId="0" applyNumberFormat="1" applyFont="1" applyAlignment="1" applyProtection="1">
      <alignment horizontal="right" vertical="center"/>
      <protection locked="0"/>
    </xf>
    <xf numFmtId="167" fontId="2" fillId="0" borderId="0" xfId="0" applyNumberFormat="1" applyFont="1" applyFill="1" applyAlignment="1" applyProtection="1">
      <alignment horizontal="right" vertical="center"/>
      <protection locked="0"/>
    </xf>
    <xf numFmtId="167" fontId="2" fillId="0" borderId="0" xfId="0" applyNumberFormat="1" applyFont="1" applyAlignment="1" applyProtection="1">
      <alignment horizontal="right" vertical="center"/>
      <protection locked="0"/>
    </xf>
    <xf numFmtId="164" fontId="2" fillId="0" borderId="0" xfId="0" applyNumberFormat="1" applyFont="1" applyAlignment="1" applyProtection="1">
      <alignment vertical="center"/>
      <protection locked="0"/>
    </xf>
    <xf numFmtId="167" fontId="2" fillId="0" borderId="0" xfId="1" applyNumberFormat="1" applyFont="1" applyAlignment="1" applyProtection="1">
      <alignment vertical="center"/>
      <protection locked="0"/>
    </xf>
    <xf numFmtId="0" fontId="1" fillId="0" borderId="0" xfId="0" applyNumberFormat="1" applyFont="1" applyFill="1" applyAlignment="1">
      <alignment horizontal="left" vertical="center"/>
    </xf>
    <xf numFmtId="0" fontId="1" fillId="0" borderId="0" xfId="0" applyFont="1" applyAlignment="1">
      <alignment horizontal="left" vertical="center"/>
    </xf>
    <xf numFmtId="0" fontId="1" fillId="0" borderId="0" xfId="0" applyFont="1" applyFill="1" applyAlignment="1">
      <alignment horizontal="left" vertical="center"/>
    </xf>
    <xf numFmtId="167" fontId="5" fillId="0" borderId="0" xfId="0" applyNumberFormat="1" applyFont="1" applyAlignment="1">
      <alignment horizontal="center" vertical="center"/>
    </xf>
    <xf numFmtId="164" fontId="5" fillId="2" borderId="2" xfId="0" applyNumberFormat="1" applyFont="1" applyFill="1" applyBorder="1" applyAlignment="1">
      <alignment horizontal="center" vertical="center"/>
    </xf>
    <xf numFmtId="167" fontId="1" fillId="2" borderId="0" xfId="0" applyNumberFormat="1" applyFont="1" applyFill="1" applyAlignment="1">
      <alignment horizontal="center" vertical="center"/>
    </xf>
    <xf numFmtId="0" fontId="5" fillId="0" borderId="0" xfId="0" applyFont="1" applyFill="1" applyAlignment="1">
      <alignment horizontal="center"/>
    </xf>
    <xf numFmtId="0" fontId="17" fillId="5" borderId="0" xfId="0" applyFont="1" applyFill="1" applyBorder="1" applyAlignment="1" applyProtection="1">
      <alignment horizontal="center"/>
    </xf>
    <xf numFmtId="0" fontId="1" fillId="0" borderId="0" xfId="0" applyFont="1" applyAlignment="1">
      <alignment vertical="center" wrapText="1"/>
    </xf>
    <xf numFmtId="0" fontId="0" fillId="0" borderId="0" xfId="0" applyAlignment="1">
      <alignment vertical="center" wrapText="1"/>
    </xf>
    <xf numFmtId="0" fontId="0" fillId="0" borderId="0" xfId="0" applyAlignment="1"/>
    <xf numFmtId="0" fontId="1" fillId="0" borderId="0" xfId="0" applyNumberFormat="1" applyFont="1" applyFill="1" applyAlignment="1">
      <alignment horizontal="left" vertical="center"/>
    </xf>
    <xf numFmtId="0" fontId="1" fillId="0" borderId="0" xfId="0" applyNumberFormat="1" applyFont="1" applyAlignment="1">
      <alignment horizontal="left" vertical="center"/>
    </xf>
    <xf numFmtId="0" fontId="1" fillId="0" borderId="0" xfId="0" applyFont="1" applyAlignment="1">
      <alignment horizontal="left" vertical="center"/>
    </xf>
    <xf numFmtId="0" fontId="16" fillId="0" borderId="0" xfId="0" applyFont="1" applyAlignment="1">
      <alignment horizontal="left" vertical="center"/>
    </xf>
    <xf numFmtId="0" fontId="1" fillId="0" borderId="0" xfId="0" applyFont="1" applyFill="1" applyAlignment="1">
      <alignment horizontal="left" vertical="center"/>
    </xf>
    <xf numFmtId="0" fontId="9" fillId="0" borderId="0" xfId="0" applyFont="1" applyFill="1" applyAlignment="1">
      <alignment horizontal="left" vertical="center"/>
    </xf>
    <xf numFmtId="0" fontId="7" fillId="0" borderId="29" xfId="0" applyFont="1" applyBorder="1" applyAlignment="1">
      <alignment horizontal="center" vertical="center"/>
    </xf>
    <xf numFmtId="0" fontId="7" fillId="0" borderId="30" xfId="0" applyFont="1" applyBorder="1" applyAlignment="1">
      <alignment horizontal="center" vertical="center"/>
    </xf>
    <xf numFmtId="0" fontId="7" fillId="0" borderId="31" xfId="0" applyFont="1" applyBorder="1" applyAlignment="1">
      <alignment horizontal="center" vertical="center"/>
    </xf>
    <xf numFmtId="0" fontId="1" fillId="0" borderId="25" xfId="0" applyFont="1" applyBorder="1" applyAlignment="1">
      <alignment horizontal="left" vertical="center"/>
    </xf>
    <xf numFmtId="0" fontId="1" fillId="0" borderId="2" xfId="0" applyFont="1" applyBorder="1" applyAlignment="1">
      <alignment horizontal="left" vertical="center"/>
    </xf>
    <xf numFmtId="0" fontId="0" fillId="0" borderId="25" xfId="0" applyBorder="1" applyAlignment="1">
      <alignment horizontal="left" vertical="center"/>
    </xf>
    <xf numFmtId="0" fontId="0" fillId="0" borderId="2" xfId="0" applyBorder="1" applyAlignment="1">
      <alignment horizontal="left" vertical="center"/>
    </xf>
    <xf numFmtId="0" fontId="1" fillId="0" borderId="23" xfId="0" applyFont="1" applyBorder="1" applyAlignment="1">
      <alignment horizontal="left" vertical="center"/>
    </xf>
    <xf numFmtId="0" fontId="1" fillId="0" borderId="17" xfId="0" applyFont="1" applyBorder="1" applyAlignment="1">
      <alignment horizontal="left" vertical="center"/>
    </xf>
    <xf numFmtId="0" fontId="2" fillId="0" borderId="0" xfId="0" applyFont="1" applyFill="1" applyAlignment="1" applyProtection="1">
      <alignment horizontal="right" vertical="center"/>
      <protection locked="0"/>
    </xf>
    <xf numFmtId="0" fontId="5" fillId="0" borderId="0" xfId="0" applyNumberFormat="1" applyFont="1" applyFill="1" applyAlignment="1">
      <alignment horizontal="left" vertical="center"/>
    </xf>
    <xf numFmtId="0" fontId="5" fillId="0" borderId="0" xfId="0" applyNumberFormat="1" applyFont="1" applyAlignment="1">
      <alignment horizontal="left" vertical="center"/>
    </xf>
    <xf numFmtId="0" fontId="3" fillId="0" borderId="7" xfId="0" applyFont="1" applyBorder="1" applyAlignment="1">
      <alignment horizontal="center" vertical="center"/>
    </xf>
    <xf numFmtId="0" fontId="6" fillId="0" borderId="0" xfId="0" applyFont="1" applyFill="1" applyAlignment="1">
      <alignment horizontal="left" vertical="center"/>
    </xf>
    <xf numFmtId="0" fontId="13" fillId="0" borderId="9" xfId="0" applyFont="1" applyBorder="1" applyAlignment="1">
      <alignment horizontal="center" vertical="center" wrapText="1"/>
    </xf>
    <xf numFmtId="0" fontId="13" fillId="0" borderId="10" xfId="0" applyFont="1" applyBorder="1" applyAlignment="1">
      <alignment horizontal="center" vertical="center" wrapText="1"/>
    </xf>
    <xf numFmtId="0" fontId="13" fillId="0" borderId="11" xfId="0" applyFont="1" applyBorder="1" applyAlignment="1">
      <alignment horizontal="center" vertical="center" wrapText="1"/>
    </xf>
    <xf numFmtId="0" fontId="1" fillId="0" borderId="7"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6" fillId="0" borderId="4" xfId="0" applyFont="1" applyFill="1" applyBorder="1" applyAlignment="1">
      <alignment horizontal="left" vertical="center" wrapText="1"/>
    </xf>
    <xf numFmtId="0" fontId="6" fillId="0" borderId="5" xfId="0" applyFont="1" applyFill="1" applyBorder="1" applyAlignment="1">
      <alignment horizontal="left" vertical="center" wrapText="1"/>
    </xf>
    <xf numFmtId="0" fontId="6" fillId="0" borderId="6" xfId="0" applyFont="1" applyFill="1" applyBorder="1" applyAlignment="1">
      <alignment horizontal="left" vertical="center" wrapText="1"/>
    </xf>
    <xf numFmtId="0" fontId="3" fillId="0" borderId="37" xfId="0" applyFont="1" applyBorder="1" applyAlignment="1">
      <alignment horizontal="center" vertical="center"/>
    </xf>
    <xf numFmtId="0" fontId="3" fillId="0" borderId="17" xfId="0" applyFont="1" applyBorder="1" applyAlignment="1">
      <alignment horizontal="center" vertical="center"/>
    </xf>
    <xf numFmtId="0" fontId="6" fillId="0" borderId="4" xfId="0" applyFont="1" applyBorder="1" applyAlignment="1">
      <alignment horizontal="left" vertical="center" wrapText="1"/>
    </xf>
    <xf numFmtId="0" fontId="6" fillId="0" borderId="5" xfId="0" applyFont="1" applyBorder="1" applyAlignment="1">
      <alignment horizontal="left" vertical="center" wrapText="1"/>
    </xf>
    <xf numFmtId="0" fontId="6" fillId="0" borderId="6" xfId="0" applyFont="1" applyBorder="1" applyAlignment="1">
      <alignment horizontal="left" vertical="center" wrapText="1"/>
    </xf>
    <xf numFmtId="0" fontId="3" fillId="0" borderId="22" xfId="0" applyFont="1" applyBorder="1" applyAlignment="1">
      <alignment horizontal="center" vertical="center"/>
    </xf>
    <xf numFmtId="0" fontId="3" fillId="0" borderId="0" xfId="0" applyFont="1" applyAlignment="1">
      <alignment horizontal="center" vertical="center"/>
    </xf>
    <xf numFmtId="0" fontId="3" fillId="0" borderId="21" xfId="0" applyFont="1" applyBorder="1" applyAlignment="1">
      <alignment horizontal="center" vertical="center"/>
    </xf>
    <xf numFmtId="0" fontId="3" fillId="0" borderId="0" xfId="0" applyFont="1" applyBorder="1" applyAlignment="1">
      <alignment horizontal="center" vertical="center"/>
    </xf>
  </cellXfs>
  <cellStyles count="4">
    <cellStyle name="Currency" xfId="1" builtinId="4"/>
    <cellStyle name="Hyperlink" xfId="3" builtinId="8"/>
    <cellStyle name="Normal" xfId="0" builtinId="0"/>
    <cellStyle name="Percent" xfId="2" builtinId="5"/>
  </cellStyles>
  <dxfs count="2">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emf"/><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190499</xdr:colOff>
      <xdr:row>3</xdr:row>
      <xdr:rowOff>38100</xdr:rowOff>
    </xdr:from>
    <xdr:to>
      <xdr:col>6</xdr:col>
      <xdr:colOff>91403</xdr:colOff>
      <xdr:row>6</xdr:row>
      <xdr:rowOff>133350</xdr:rowOff>
    </xdr:to>
    <xdr:pic>
      <xdr:nvPicPr>
        <xdr:cNvPr id="2" name="Picture 1" descr="AgEcon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86049" y="657225"/>
          <a:ext cx="2806029" cy="581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350801</xdr:colOff>
      <xdr:row>21</xdr:row>
      <xdr:rowOff>143233</xdr:rowOff>
    </xdr:from>
    <xdr:to>
      <xdr:col>9</xdr:col>
      <xdr:colOff>94505</xdr:colOff>
      <xdr:row>26</xdr:row>
      <xdr:rowOff>31880</xdr:rowOff>
    </xdr:to>
    <xdr:pic>
      <xdr:nvPicPr>
        <xdr:cNvPr id="3" name="Picture 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12751" y="4486633"/>
          <a:ext cx="6563604" cy="6982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24</xdr:row>
      <xdr:rowOff>0</xdr:rowOff>
    </xdr:from>
    <xdr:to>
      <xdr:col>7</xdr:col>
      <xdr:colOff>61225</xdr:colOff>
      <xdr:row>25</xdr:row>
      <xdr:rowOff>127748</xdr:rowOff>
    </xdr:to>
    <xdr:pic>
      <xdr:nvPicPr>
        <xdr:cNvPr id="4" name="Picture 3" descr="ces-footer-black"/>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61950" y="4829175"/>
          <a:ext cx="5319025" cy="28967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xdr:col>
      <xdr:colOff>537125</xdr:colOff>
      <xdr:row>24</xdr:row>
      <xdr:rowOff>143234</xdr:rowOff>
    </xdr:from>
    <xdr:ext cx="5949462" cy="186269"/>
    <xdr:sp macro="" textlink="">
      <xdr:nvSpPr>
        <xdr:cNvPr id="5" name="TextBox 4"/>
        <xdr:cNvSpPr txBox="1"/>
      </xdr:nvSpPr>
      <xdr:spPr>
        <a:xfrm>
          <a:off x="899075" y="4972409"/>
          <a:ext cx="5949462" cy="1862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600" b="0" i="0" u="none" strike="noStrike">
              <a:solidFill>
                <a:schemeClr val="tx1"/>
              </a:solidFill>
              <a:effectLst/>
              <a:latin typeface="+mn-lt"/>
              <a:ea typeface="+mn-ea"/>
              <a:cs typeface="+mn-cs"/>
            </a:rPr>
            <a:t>Educational programs of Kentucky Cooperative Extension serve all people regardless of race, color, age, sex, religion, disability, or national origin.</a:t>
          </a:r>
          <a:r>
            <a:rPr lang="en-US" sz="600">
              <a:effectLst/>
            </a:rPr>
            <a:t> </a:t>
          </a:r>
          <a:endParaRPr lang="en-US" sz="600"/>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kburdine@uky.edu" TargetMode="External"/><Relationship Id="rId2" Type="http://schemas.openxmlformats.org/officeDocument/2006/relationships/hyperlink" Target="mailto:Samantha.Kindred@uky.edu" TargetMode="External"/><Relationship Id="rId1" Type="http://schemas.openxmlformats.org/officeDocument/2006/relationships/hyperlink" Target="mailto:Greg.Halich@uky.edu"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0"/>
  <sheetViews>
    <sheetView showGridLines="0" zoomScale="122" zoomScaleNormal="122" workbookViewId="0">
      <selection activeCell="K6" sqref="K6"/>
    </sheetView>
  </sheetViews>
  <sheetFormatPr defaultRowHeight="12.75" x14ac:dyDescent="0.2"/>
  <cols>
    <col min="1" max="1" width="5.42578125" customWidth="1"/>
    <col min="2" max="2" width="20.28515625" customWidth="1"/>
    <col min="3" max="10" width="11.7109375" customWidth="1"/>
  </cols>
  <sheetData>
    <row r="1" spans="1:12" x14ac:dyDescent="0.2">
      <c r="A1" s="1"/>
    </row>
    <row r="2" spans="1:12" ht="23.25" x14ac:dyDescent="0.35">
      <c r="B2" s="144" t="s">
        <v>93</v>
      </c>
      <c r="C2" s="144"/>
      <c r="D2" s="144"/>
      <c r="E2" s="144"/>
      <c r="F2" s="144"/>
      <c r="G2" s="144"/>
      <c r="H2" s="144"/>
      <c r="I2" s="144"/>
      <c r="J2" s="144"/>
    </row>
    <row r="9" spans="1:12" ht="61.5" customHeight="1" x14ac:dyDescent="0.2">
      <c r="C9" s="145" t="s">
        <v>119</v>
      </c>
      <c r="D9" s="146"/>
      <c r="E9" s="146"/>
      <c r="F9" s="146"/>
      <c r="G9" s="146"/>
      <c r="H9" s="146"/>
      <c r="I9" s="147"/>
    </row>
    <row r="11" spans="1:12" x14ac:dyDescent="0.2">
      <c r="B11" s="115"/>
      <c r="C11" s="143" t="s">
        <v>106</v>
      </c>
      <c r="D11" s="143"/>
      <c r="E11" s="143"/>
      <c r="F11" s="143"/>
      <c r="G11" s="143"/>
      <c r="H11" s="143"/>
      <c r="L11" s="1"/>
    </row>
    <row r="12" spans="1:12" x14ac:dyDescent="0.2">
      <c r="C12" s="115" t="s">
        <v>107</v>
      </c>
      <c r="D12" s="115"/>
      <c r="F12" s="117" t="s">
        <v>116</v>
      </c>
      <c r="H12" s="115"/>
      <c r="I12" s="117" t="s">
        <v>108</v>
      </c>
    </row>
    <row r="13" spans="1:12" x14ac:dyDescent="0.2">
      <c r="C13" s="117" t="s">
        <v>115</v>
      </c>
      <c r="D13" s="115"/>
      <c r="F13" s="117" t="s">
        <v>109</v>
      </c>
      <c r="H13" s="115"/>
      <c r="I13" s="117" t="s">
        <v>110</v>
      </c>
    </row>
    <row r="14" spans="1:12" x14ac:dyDescent="0.2">
      <c r="C14" s="116" t="s">
        <v>111</v>
      </c>
      <c r="D14" s="115"/>
      <c r="F14" s="116" t="s">
        <v>117</v>
      </c>
      <c r="H14" s="115"/>
      <c r="I14" s="116" t="s">
        <v>112</v>
      </c>
    </row>
    <row r="15" spans="1:12" x14ac:dyDescent="0.2">
      <c r="C15" s="115" t="s">
        <v>113</v>
      </c>
      <c r="D15" s="115"/>
      <c r="F15" s="117" t="s">
        <v>118</v>
      </c>
      <c r="H15" s="115"/>
      <c r="I15" s="115" t="s">
        <v>114</v>
      </c>
    </row>
    <row r="17" spans="2:8" x14ac:dyDescent="0.2">
      <c r="C17" s="143" t="s">
        <v>123</v>
      </c>
      <c r="D17" s="143"/>
      <c r="E17" s="143"/>
      <c r="F17" s="143"/>
      <c r="G17" s="143"/>
      <c r="H17" s="143"/>
    </row>
    <row r="19" spans="2:8" x14ac:dyDescent="0.2">
      <c r="C19" s="1"/>
    </row>
    <row r="20" spans="2:8" x14ac:dyDescent="0.2">
      <c r="B20" s="1"/>
    </row>
  </sheetData>
  <sheetProtection password="8797" sheet="1" objects="1" scenarios="1" formatCells="0" formatColumns="0" formatRows="0"/>
  <mergeCells count="4">
    <mergeCell ref="C11:H11"/>
    <mergeCell ref="C17:H17"/>
    <mergeCell ref="B2:J2"/>
    <mergeCell ref="C9:I9"/>
  </mergeCells>
  <hyperlinks>
    <hyperlink ref="C14" r:id="rId1"/>
    <hyperlink ref="I14" r:id="rId2"/>
    <hyperlink ref="F14" r:id="rId3"/>
  </hyperlinks>
  <pageMargins left="0.7" right="0.7" top="0.75" bottom="0.75" header="0.3" footer="0.3"/>
  <pageSetup orientation="portrait" r:id="rId4"/>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86"/>
  <sheetViews>
    <sheetView showGridLines="0" tabSelected="1" zoomScale="110" zoomScaleNormal="110" workbookViewId="0">
      <selection activeCell="E24" sqref="E24"/>
    </sheetView>
  </sheetViews>
  <sheetFormatPr defaultRowHeight="12.75" x14ac:dyDescent="0.2"/>
  <cols>
    <col min="1" max="1" width="3.140625" customWidth="1"/>
    <col min="2" max="2" width="16.5703125" customWidth="1"/>
    <col min="3" max="3" width="9.140625" customWidth="1"/>
    <col min="4" max="4" width="13.140625" customWidth="1"/>
    <col min="5" max="8" width="9.140625" customWidth="1"/>
    <col min="9" max="9" width="16.28515625" customWidth="1"/>
    <col min="10" max="10" width="7.140625" customWidth="1"/>
    <col min="11" max="12" width="9.140625" customWidth="1"/>
    <col min="17" max="17" width="3.85546875" customWidth="1"/>
  </cols>
  <sheetData>
    <row r="1" spans="1:21" ht="9" customHeight="1" x14ac:dyDescent="0.2"/>
    <row r="2" spans="1:21" ht="21.75" customHeight="1" x14ac:dyDescent="0.2">
      <c r="A2" s="21"/>
      <c r="B2" s="151" t="s">
        <v>93</v>
      </c>
      <c r="C2" s="151"/>
      <c r="D2" s="151"/>
      <c r="E2" s="151"/>
      <c r="F2" s="151"/>
      <c r="G2" s="151"/>
      <c r="H2" s="151"/>
      <c r="I2" s="151"/>
      <c r="J2" s="151"/>
      <c r="K2" s="21"/>
      <c r="L2" s="21"/>
      <c r="M2" s="21"/>
      <c r="N2" s="21"/>
      <c r="O2" s="21"/>
      <c r="P2" s="21"/>
      <c r="Q2" s="21"/>
      <c r="R2" s="56"/>
      <c r="S2" s="56"/>
      <c r="T2" s="56"/>
      <c r="U2" s="56"/>
    </row>
    <row r="3" spans="1:21" ht="12.75" customHeight="1" thickBot="1" x14ac:dyDescent="0.25">
      <c r="A3" s="21"/>
      <c r="B3" s="21"/>
      <c r="C3" s="21"/>
      <c r="D3" s="21"/>
      <c r="E3" s="21"/>
      <c r="F3" s="21"/>
      <c r="G3" s="21"/>
      <c r="H3" s="21"/>
      <c r="I3" s="21"/>
      <c r="P3" s="21"/>
      <c r="Q3" s="21"/>
      <c r="R3" s="56"/>
      <c r="S3" s="56"/>
      <c r="T3" s="56"/>
      <c r="U3" s="56"/>
    </row>
    <row r="4" spans="1:21" ht="12.75" customHeight="1" thickTop="1" thickBot="1" x14ac:dyDescent="0.25">
      <c r="A4" s="21"/>
      <c r="B4" s="153" t="s">
        <v>99</v>
      </c>
      <c r="C4" s="153"/>
      <c r="D4" s="153"/>
      <c r="E4" s="153"/>
      <c r="F4" s="93"/>
      <c r="G4" s="102" t="s">
        <v>82</v>
      </c>
      <c r="H4" s="93"/>
      <c r="I4" s="93"/>
      <c r="K4" s="154" t="s">
        <v>86</v>
      </c>
      <c r="L4" s="155"/>
      <c r="M4" s="155"/>
      <c r="N4" s="155"/>
      <c r="O4" s="155"/>
      <c r="P4" s="156"/>
      <c r="Q4" s="56"/>
      <c r="R4" s="102" t="s">
        <v>82</v>
      </c>
      <c r="S4" s="56"/>
      <c r="T4" s="56"/>
      <c r="U4" s="56"/>
    </row>
    <row r="5" spans="1:21" ht="12.75" customHeight="1" thickTop="1" x14ac:dyDescent="0.2">
      <c r="A5" s="21"/>
      <c r="B5" s="150" t="s">
        <v>31</v>
      </c>
      <c r="C5" s="150"/>
      <c r="D5" s="150"/>
      <c r="E5" s="125">
        <v>1500</v>
      </c>
      <c r="F5" s="25"/>
      <c r="G5" s="56"/>
      <c r="H5" s="56"/>
      <c r="I5" s="56"/>
      <c r="K5" s="161" t="s">
        <v>8</v>
      </c>
      <c r="L5" s="162"/>
      <c r="M5" s="69">
        <v>2</v>
      </c>
      <c r="N5" s="70" t="s">
        <v>9</v>
      </c>
      <c r="O5" s="71">
        <v>0</v>
      </c>
      <c r="P5" s="104">
        <f>M5*O5</f>
        <v>0</v>
      </c>
      <c r="Q5" s="21"/>
      <c r="R5" s="114" t="s">
        <v>105</v>
      </c>
      <c r="S5" s="56"/>
      <c r="T5" s="56"/>
      <c r="U5" s="56"/>
    </row>
    <row r="6" spans="1:21" ht="12.75" customHeight="1" x14ac:dyDescent="0.2">
      <c r="A6" s="21"/>
      <c r="B6" s="150" t="s">
        <v>100</v>
      </c>
      <c r="C6" s="150"/>
      <c r="D6" s="150"/>
      <c r="E6" s="126">
        <v>8</v>
      </c>
      <c r="F6" s="26"/>
      <c r="G6" s="114"/>
      <c r="H6" s="56"/>
      <c r="I6" s="56"/>
      <c r="K6" s="159" t="s">
        <v>10</v>
      </c>
      <c r="L6" s="160"/>
      <c r="M6" s="72">
        <f>M5</f>
        <v>2</v>
      </c>
      <c r="N6" s="95" t="s">
        <v>9</v>
      </c>
      <c r="O6" s="73">
        <v>25</v>
      </c>
      <c r="P6" s="105">
        <f>M6*O6</f>
        <v>50</v>
      </c>
      <c r="Q6" s="56"/>
      <c r="R6" s="114"/>
      <c r="S6" s="56"/>
    </row>
    <row r="7" spans="1:21" ht="12.75" customHeight="1" x14ac:dyDescent="0.2">
      <c r="A7" s="21"/>
      <c r="B7" s="150" t="s">
        <v>70</v>
      </c>
      <c r="C7" s="150"/>
      <c r="D7" s="150"/>
      <c r="E7" s="127">
        <v>0.85</v>
      </c>
      <c r="F7" s="27"/>
      <c r="G7" s="114" t="s">
        <v>101</v>
      </c>
      <c r="H7" s="56"/>
      <c r="I7" s="56"/>
      <c r="K7" s="159" t="s">
        <v>11</v>
      </c>
      <c r="L7" s="160"/>
      <c r="M7" s="74">
        <v>2.5</v>
      </c>
      <c r="N7" s="95" t="s">
        <v>12</v>
      </c>
      <c r="O7" s="73">
        <v>75</v>
      </c>
      <c r="P7" s="105">
        <f>M7*O7</f>
        <v>187.5</v>
      </c>
      <c r="Q7" s="56"/>
      <c r="R7" s="114"/>
      <c r="S7" s="56"/>
    </row>
    <row r="8" spans="1:21" ht="12.75" customHeight="1" x14ac:dyDescent="0.2">
      <c r="A8" s="21"/>
      <c r="B8" s="150" t="s">
        <v>48</v>
      </c>
      <c r="C8" s="150"/>
      <c r="D8" s="150"/>
      <c r="E8" s="84">
        <f>E6*E7</f>
        <v>6.8</v>
      </c>
      <c r="F8" s="28"/>
      <c r="G8" s="21"/>
      <c r="H8" s="21"/>
      <c r="I8" s="21"/>
      <c r="K8" s="118" t="s">
        <v>84</v>
      </c>
      <c r="L8" s="119"/>
      <c r="M8" s="69">
        <v>5</v>
      </c>
      <c r="N8" s="103" t="s">
        <v>85</v>
      </c>
      <c r="O8" s="71">
        <v>0</v>
      </c>
      <c r="P8" s="104">
        <f>M8*O8</f>
        <v>0</v>
      </c>
      <c r="Q8" s="56"/>
      <c r="R8" s="114" t="s">
        <v>104</v>
      </c>
      <c r="S8" s="56"/>
    </row>
    <row r="9" spans="1:21" ht="12.75" customHeight="1" x14ac:dyDescent="0.2">
      <c r="A9" s="21"/>
      <c r="B9" s="152" t="str">
        <f>"Expected Death Loss for Cow over "&amp;E6&amp;" Years"</f>
        <v>Expected Death Loss for Cow over 8 Years</v>
      </c>
      <c r="C9" s="152"/>
      <c r="D9" s="152"/>
      <c r="E9" s="128">
        <v>0.05</v>
      </c>
      <c r="F9" s="21"/>
      <c r="G9" s="21"/>
      <c r="H9" s="21"/>
      <c r="I9" s="21"/>
      <c r="K9" s="157" t="s">
        <v>13</v>
      </c>
      <c r="L9" s="158"/>
      <c r="M9" s="74"/>
      <c r="N9" s="95"/>
      <c r="O9" s="73">
        <v>24</v>
      </c>
      <c r="P9" s="105">
        <f t="shared" ref="P9" si="0">O9</f>
        <v>24</v>
      </c>
      <c r="Q9" s="56"/>
      <c r="S9" s="56"/>
    </row>
    <row r="10" spans="1:21" ht="12.75" customHeight="1" x14ac:dyDescent="0.2">
      <c r="A10" s="21"/>
      <c r="B10" s="150" t="s">
        <v>0</v>
      </c>
      <c r="C10" s="150"/>
      <c r="D10" s="150"/>
      <c r="E10" s="125">
        <v>800</v>
      </c>
      <c r="F10" s="79"/>
      <c r="G10" s="56"/>
      <c r="H10" s="56"/>
      <c r="I10" s="56"/>
      <c r="K10" s="157" t="s">
        <v>14</v>
      </c>
      <c r="L10" s="158"/>
      <c r="M10" s="75"/>
      <c r="N10" s="95"/>
      <c r="O10" s="73">
        <v>20</v>
      </c>
      <c r="P10" s="105">
        <f t="shared" ref="P10:P15" si="1">O10</f>
        <v>20</v>
      </c>
      <c r="Q10" s="56"/>
      <c r="R10" s="114"/>
      <c r="S10" s="56"/>
    </row>
    <row r="11" spans="1:21" ht="12.75" customHeight="1" x14ac:dyDescent="0.2">
      <c r="A11" s="21"/>
      <c r="B11" s="152" t="s">
        <v>22</v>
      </c>
      <c r="C11" s="152"/>
      <c r="D11" s="152"/>
      <c r="E11" s="85">
        <f>E10*(1-E9)</f>
        <v>760</v>
      </c>
      <c r="F11" s="21"/>
      <c r="G11" s="56"/>
      <c r="H11" s="56"/>
      <c r="I11" s="56"/>
      <c r="K11" s="157" t="s">
        <v>15</v>
      </c>
      <c r="L11" s="158"/>
      <c r="M11" s="75"/>
      <c r="N11" s="95"/>
      <c r="O11" s="73">
        <v>40</v>
      </c>
      <c r="P11" s="105">
        <f t="shared" si="1"/>
        <v>40</v>
      </c>
      <c r="Q11" s="56"/>
      <c r="R11" s="114"/>
      <c r="S11" s="56"/>
      <c r="T11" s="56"/>
    </row>
    <row r="12" spans="1:21" ht="12.75" customHeight="1" x14ac:dyDescent="0.2">
      <c r="A12" s="21"/>
      <c r="B12" s="152" t="s">
        <v>87</v>
      </c>
      <c r="C12" s="152"/>
      <c r="D12" s="152"/>
      <c r="E12" s="129">
        <v>0.03</v>
      </c>
      <c r="F12" s="21"/>
      <c r="G12" s="56"/>
      <c r="H12" s="56"/>
      <c r="I12" s="56"/>
      <c r="K12" s="157" t="s">
        <v>16</v>
      </c>
      <c r="L12" s="158"/>
      <c r="M12" s="75"/>
      <c r="N12" s="95"/>
      <c r="O12" s="73">
        <v>35</v>
      </c>
      <c r="P12" s="105">
        <f t="shared" si="1"/>
        <v>35</v>
      </c>
      <c r="Q12" s="56"/>
      <c r="R12" s="114"/>
      <c r="S12" s="56"/>
      <c r="T12" s="56"/>
    </row>
    <row r="13" spans="1:21" ht="12.75" customHeight="1" x14ac:dyDescent="0.2">
      <c r="A13" s="21"/>
      <c r="B13" s="21"/>
      <c r="C13" s="21"/>
      <c r="D13" s="21"/>
      <c r="E13" s="21"/>
      <c r="F13" s="37"/>
      <c r="G13" s="56"/>
      <c r="H13" s="56"/>
      <c r="I13" s="56"/>
      <c r="K13" s="157" t="s">
        <v>17</v>
      </c>
      <c r="L13" s="158"/>
      <c r="M13" s="75"/>
      <c r="N13" s="95"/>
      <c r="O13" s="73">
        <v>20</v>
      </c>
      <c r="P13" s="105">
        <f t="shared" si="1"/>
        <v>20</v>
      </c>
      <c r="Q13" s="56"/>
      <c r="R13" s="114" t="s">
        <v>103</v>
      </c>
      <c r="S13" s="56"/>
      <c r="T13" s="56"/>
    </row>
    <row r="14" spans="1:21" ht="12.75" customHeight="1" x14ac:dyDescent="0.2">
      <c r="A14" s="21"/>
      <c r="B14" s="152" t="s">
        <v>79</v>
      </c>
      <c r="C14" s="152"/>
      <c r="D14" s="152"/>
      <c r="E14" s="152"/>
      <c r="F14" s="21"/>
      <c r="G14" s="56"/>
      <c r="H14" s="56"/>
      <c r="I14" s="56"/>
      <c r="K14" s="157" t="s">
        <v>83</v>
      </c>
      <c r="L14" s="158"/>
      <c r="M14" s="75"/>
      <c r="N14" s="95"/>
      <c r="O14" s="73">
        <v>10</v>
      </c>
      <c r="P14" s="105">
        <f t="shared" si="1"/>
        <v>10</v>
      </c>
      <c r="Q14" s="56"/>
      <c r="R14" s="114"/>
      <c r="S14" s="56"/>
      <c r="T14" s="56"/>
    </row>
    <row r="15" spans="1:21" ht="12.75" customHeight="1" x14ac:dyDescent="0.2">
      <c r="A15" s="21"/>
      <c r="B15" s="152" t="s">
        <v>80</v>
      </c>
      <c r="C15" s="152"/>
      <c r="D15" s="163" t="s">
        <v>66</v>
      </c>
      <c r="E15" s="163"/>
      <c r="F15" s="21"/>
      <c r="G15" s="76" t="s">
        <v>102</v>
      </c>
      <c r="H15" s="21"/>
      <c r="I15" s="21"/>
      <c r="K15" s="157" t="s">
        <v>18</v>
      </c>
      <c r="L15" s="158"/>
      <c r="M15" s="74"/>
      <c r="N15" s="95"/>
      <c r="O15" s="73">
        <v>13</v>
      </c>
      <c r="P15" s="105">
        <f t="shared" si="1"/>
        <v>13</v>
      </c>
      <c r="Q15" s="56"/>
      <c r="R15" s="114"/>
      <c r="S15" s="56"/>
      <c r="T15" s="56"/>
    </row>
    <row r="16" spans="1:21" ht="12.75" customHeight="1" thickBot="1" x14ac:dyDescent="0.25">
      <c r="A16" s="21"/>
      <c r="B16" s="150" t="s">
        <v>54</v>
      </c>
      <c r="C16" s="150"/>
      <c r="D16" s="150"/>
      <c r="E16" s="130">
        <v>400</v>
      </c>
      <c r="F16" s="21"/>
      <c r="G16" s="82"/>
      <c r="H16" s="21"/>
      <c r="I16" s="21"/>
      <c r="K16" s="106" t="s">
        <v>19</v>
      </c>
      <c r="L16" s="107"/>
      <c r="M16" s="108"/>
      <c r="N16" s="109"/>
      <c r="O16" s="110"/>
      <c r="P16" s="111">
        <f>SUM(P5:P15)</f>
        <v>399.5</v>
      </c>
      <c r="Q16" s="56"/>
      <c r="R16" s="114"/>
      <c r="S16" s="56"/>
      <c r="T16" s="56"/>
    </row>
    <row r="17" spans="1:22" ht="12.75" customHeight="1" thickTop="1" x14ac:dyDescent="0.2">
      <c r="A17" s="21"/>
      <c r="B17" s="150" t="s">
        <v>54</v>
      </c>
      <c r="C17" s="150"/>
      <c r="D17" s="150"/>
      <c r="E17" s="86">
        <f>P16</f>
        <v>399.5</v>
      </c>
      <c r="F17" s="21"/>
      <c r="G17" s="21"/>
      <c r="H17" s="21"/>
      <c r="I17" s="21"/>
      <c r="Q17" s="56"/>
      <c r="R17" s="56"/>
      <c r="S17" s="56"/>
      <c r="T17" s="56"/>
    </row>
    <row r="18" spans="1:22" ht="12.75" customHeight="1" x14ac:dyDescent="0.2">
      <c r="A18" s="21"/>
      <c r="B18" s="81"/>
      <c r="C18" s="81"/>
      <c r="D18" s="81"/>
      <c r="E18" s="30"/>
      <c r="F18" s="80"/>
      <c r="G18" s="80"/>
      <c r="H18" s="80"/>
      <c r="I18" s="80"/>
      <c r="P18" s="21"/>
      <c r="Q18" s="21"/>
      <c r="R18" s="21"/>
      <c r="S18" s="56"/>
      <c r="T18" s="56"/>
      <c r="U18" s="56"/>
      <c r="V18" s="56"/>
    </row>
    <row r="19" spans="1:22" ht="12.75" customHeight="1" x14ac:dyDescent="0.2">
      <c r="A19" s="21"/>
      <c r="B19" s="153" t="str">
        <f>"Weaned Calves: averaged over "&amp;E6&amp;" years"</f>
        <v>Weaned Calves: averaged over 8 years</v>
      </c>
      <c r="C19" s="153"/>
      <c r="D19" s="153"/>
      <c r="E19" s="153"/>
      <c r="F19" s="31"/>
      <c r="G19" s="56"/>
      <c r="H19" s="56"/>
      <c r="I19" s="56"/>
      <c r="P19" s="21"/>
      <c r="R19" s="56"/>
      <c r="S19" s="56"/>
      <c r="T19" s="56"/>
      <c r="U19" s="56"/>
      <c r="V19" s="56"/>
    </row>
    <row r="20" spans="1:22" ht="12.75" customHeight="1" x14ac:dyDescent="0.2">
      <c r="A20" s="21"/>
      <c r="B20" s="149" t="s">
        <v>73</v>
      </c>
      <c r="C20" s="149"/>
      <c r="D20" s="149"/>
      <c r="E20" s="131">
        <v>550</v>
      </c>
      <c r="F20" s="33"/>
      <c r="G20" s="76"/>
      <c r="H20" s="56"/>
      <c r="I20" s="56"/>
      <c r="R20" s="56"/>
      <c r="S20" s="56"/>
      <c r="T20" s="56"/>
      <c r="U20" s="56"/>
      <c r="V20" s="56"/>
    </row>
    <row r="21" spans="1:22" ht="12.75" customHeight="1" x14ac:dyDescent="0.2">
      <c r="A21" s="21"/>
      <c r="B21" s="149" t="s">
        <v>74</v>
      </c>
      <c r="C21" s="149"/>
      <c r="D21" s="149"/>
      <c r="E21" s="132">
        <v>500</v>
      </c>
      <c r="F21" s="34"/>
      <c r="G21" s="76"/>
      <c r="H21" s="56"/>
      <c r="I21" s="56"/>
      <c r="S21" s="56"/>
      <c r="T21" s="56"/>
      <c r="U21" s="56"/>
    </row>
    <row r="22" spans="1:22" ht="12.75" customHeight="1" x14ac:dyDescent="0.2">
      <c r="A22" s="21"/>
      <c r="B22" s="148" t="s">
        <v>52</v>
      </c>
      <c r="C22" s="148"/>
      <c r="D22" s="148"/>
      <c r="E22" s="87">
        <f>(E20+E21)/2</f>
        <v>525</v>
      </c>
      <c r="F22" s="21"/>
      <c r="G22" s="76"/>
      <c r="H22" s="21"/>
      <c r="I22" s="21"/>
      <c r="S22" s="56"/>
      <c r="T22" s="56"/>
      <c r="U22" s="56"/>
    </row>
    <row r="23" spans="1:22" ht="12.75" customHeight="1" x14ac:dyDescent="0.2">
      <c r="A23" s="21"/>
      <c r="B23" s="148" t="s">
        <v>75</v>
      </c>
      <c r="C23" s="148"/>
      <c r="D23" s="148"/>
      <c r="E23" s="133">
        <v>1.5</v>
      </c>
      <c r="F23" s="35"/>
      <c r="G23" s="76" t="str">
        <f>"Expected avg price over "&amp;E6&amp;" years, not current price"</f>
        <v>Expected avg price over 8 years, not current price</v>
      </c>
      <c r="H23" s="21"/>
      <c r="I23" s="21"/>
    </row>
    <row r="24" spans="1:22" ht="12.75" customHeight="1" x14ac:dyDescent="0.2">
      <c r="A24" s="82" t="s">
        <v>72</v>
      </c>
      <c r="B24" s="149" t="s">
        <v>76</v>
      </c>
      <c r="C24" s="149"/>
      <c r="D24" s="149"/>
      <c r="E24" s="134">
        <v>1.4</v>
      </c>
      <c r="F24" s="21"/>
      <c r="G24" s="76" t="str">
        <f>"Expected avg price over "&amp;E6&amp;" years, not current price"</f>
        <v>Expected avg price over 8 years, not current price</v>
      </c>
      <c r="H24" s="21"/>
      <c r="I24" s="21"/>
    </row>
    <row r="25" spans="1:22" ht="12.75" customHeight="1" x14ac:dyDescent="0.2">
      <c r="A25" s="21"/>
      <c r="B25" s="148" t="s">
        <v>53</v>
      </c>
      <c r="C25" s="148"/>
      <c r="D25" s="148"/>
      <c r="E25" s="88">
        <f>((E20*E23)+(E21*E24))/(E20+E21)</f>
        <v>1.4523809523809523</v>
      </c>
      <c r="F25" s="21"/>
      <c r="G25" s="76"/>
      <c r="H25" s="21"/>
      <c r="I25" s="21"/>
    </row>
    <row r="26" spans="1:22" ht="12.75" customHeight="1" x14ac:dyDescent="0.2">
      <c r="A26" s="21"/>
      <c r="B26" s="99"/>
      <c r="C26" s="99"/>
      <c r="D26" s="99"/>
      <c r="E26" s="89"/>
      <c r="F26" s="21"/>
      <c r="G26" s="76"/>
      <c r="H26" s="83"/>
      <c r="I26" s="21"/>
      <c r="J26" s="56"/>
      <c r="K26" s="56"/>
      <c r="L26" s="56"/>
      <c r="M26" s="56"/>
      <c r="N26" s="56"/>
      <c r="O26" s="56"/>
    </row>
    <row r="27" spans="1:22" ht="12.75" customHeight="1" x14ac:dyDescent="0.2">
      <c r="A27" s="21"/>
      <c r="B27" s="149" t="s">
        <v>50</v>
      </c>
      <c r="C27" s="149"/>
      <c r="D27" s="149"/>
      <c r="E27" s="112">
        <f>E22*E25</f>
        <v>762.5</v>
      </c>
      <c r="F27" s="21"/>
      <c r="G27" s="76"/>
      <c r="H27" s="21"/>
      <c r="I27" s="21"/>
      <c r="J27" s="56"/>
      <c r="K27" s="56"/>
      <c r="L27" s="56"/>
      <c r="M27" s="56"/>
      <c r="N27" s="56"/>
      <c r="O27" s="56"/>
    </row>
    <row r="28" spans="1:22" ht="12.75" customHeight="1" x14ac:dyDescent="0.2">
      <c r="A28" s="21"/>
      <c r="B28" s="164" t="s">
        <v>71</v>
      </c>
      <c r="C28" s="164"/>
      <c r="D28" s="164"/>
      <c r="E28" s="91">
        <f>E27*E7</f>
        <v>648.125</v>
      </c>
      <c r="F28" s="21"/>
      <c r="G28" s="76"/>
      <c r="H28" s="21"/>
      <c r="I28" s="21"/>
      <c r="J28" s="21"/>
      <c r="K28" s="56"/>
      <c r="L28" s="56"/>
      <c r="M28" s="56"/>
      <c r="N28" s="56"/>
      <c r="O28" s="56"/>
    </row>
    <row r="29" spans="1:22" ht="12.75" customHeight="1" x14ac:dyDescent="0.2">
      <c r="A29" s="21"/>
      <c r="B29" s="98"/>
      <c r="C29" s="98"/>
      <c r="D29" s="98"/>
      <c r="E29" s="91"/>
      <c r="F29" s="21"/>
      <c r="G29" s="76"/>
      <c r="H29" s="21"/>
      <c r="I29" s="21"/>
      <c r="J29" s="21"/>
      <c r="K29" s="56"/>
      <c r="L29" s="56"/>
      <c r="M29" s="56"/>
      <c r="N29" s="56"/>
      <c r="O29" s="11"/>
    </row>
    <row r="30" spans="1:22" ht="12.75" customHeight="1" x14ac:dyDescent="0.2">
      <c r="A30" s="21"/>
      <c r="B30" s="148" t="s">
        <v>88</v>
      </c>
      <c r="C30" s="148"/>
      <c r="D30" s="148"/>
      <c r="E30" s="85">
        <f>(E5-E11)/E6</f>
        <v>92.5</v>
      </c>
      <c r="F30" s="80"/>
      <c r="G30" s="76" t="s">
        <v>94</v>
      </c>
      <c r="H30" s="80"/>
      <c r="I30" s="80"/>
      <c r="J30" s="21"/>
      <c r="K30" s="56"/>
      <c r="L30" s="56"/>
      <c r="M30" s="56"/>
      <c r="N30" s="56"/>
      <c r="O30" s="11"/>
    </row>
    <row r="31" spans="1:22" ht="12.75" customHeight="1" x14ac:dyDescent="0.2">
      <c r="A31" s="21"/>
      <c r="B31" s="148" t="s">
        <v>89</v>
      </c>
      <c r="C31" s="148"/>
      <c r="D31" s="148"/>
      <c r="E31" s="85">
        <f>((E5+E11)/2)*E12</f>
        <v>33.9</v>
      </c>
      <c r="F31" s="80"/>
      <c r="G31" s="76" t="s">
        <v>96</v>
      </c>
      <c r="H31" s="80"/>
      <c r="I31" s="80"/>
      <c r="J31" s="56"/>
      <c r="K31" s="56"/>
      <c r="L31" s="56"/>
      <c r="M31" s="56"/>
      <c r="N31" s="56"/>
      <c r="O31" s="11"/>
    </row>
    <row r="32" spans="1:22" ht="12.75" customHeight="1" x14ac:dyDescent="0.2">
      <c r="A32" s="21"/>
      <c r="B32" s="148" t="s">
        <v>91</v>
      </c>
      <c r="C32" s="148"/>
      <c r="D32" s="148"/>
      <c r="E32" s="113">
        <f>IF(D15='BredHeifer (Public)'!I55,'BredHeifer (Public)'!E17,'BredHeifer (Public)'!E16)</f>
        <v>400</v>
      </c>
      <c r="G32" s="76" t="s">
        <v>95</v>
      </c>
      <c r="H32" s="21"/>
      <c r="I32" s="21"/>
      <c r="J32" s="56"/>
      <c r="K32" s="56"/>
      <c r="L32" s="56"/>
      <c r="M32" s="56"/>
      <c r="N32" s="56"/>
      <c r="O32" s="11"/>
    </row>
    <row r="33" spans="1:20" ht="12.75" customHeight="1" x14ac:dyDescent="0.2">
      <c r="A33" s="21"/>
      <c r="B33" s="164" t="s">
        <v>92</v>
      </c>
      <c r="C33" s="164"/>
      <c r="D33" s="164"/>
      <c r="E33" s="91">
        <f>SUM(E30:E32)</f>
        <v>526.4</v>
      </c>
      <c r="F33" s="76"/>
      <c r="G33" s="21"/>
      <c r="H33" s="21"/>
      <c r="I33" s="21"/>
      <c r="J33" s="56"/>
      <c r="K33" s="56"/>
      <c r="L33" s="56"/>
      <c r="M33" s="56"/>
      <c r="N33" s="56"/>
      <c r="O33" s="11"/>
      <c r="P33" s="56"/>
      <c r="Q33" s="56"/>
    </row>
    <row r="34" spans="1:20" ht="12.75" customHeight="1" x14ac:dyDescent="0.2">
      <c r="A34" s="21"/>
      <c r="B34" s="100"/>
      <c r="C34" s="101"/>
      <c r="D34" s="101"/>
      <c r="E34" s="92"/>
      <c r="F34" s="21"/>
      <c r="G34" s="21"/>
      <c r="H34" s="21"/>
      <c r="I34" s="21"/>
      <c r="J34" s="21"/>
      <c r="K34" s="21"/>
      <c r="L34" s="21"/>
      <c r="M34" s="21"/>
      <c r="N34" s="21"/>
      <c r="O34" s="21"/>
    </row>
    <row r="35" spans="1:20" ht="12.75" customHeight="1" x14ac:dyDescent="0.2">
      <c r="A35" s="21"/>
      <c r="B35" s="165" t="s">
        <v>90</v>
      </c>
      <c r="C35" s="165"/>
      <c r="D35" s="165"/>
      <c r="E35" s="90">
        <f>E28-E33</f>
        <v>121.72500000000002</v>
      </c>
      <c r="F35" s="21"/>
      <c r="G35" s="76" t="s">
        <v>120</v>
      </c>
      <c r="H35" s="21"/>
      <c r="I35" s="21"/>
      <c r="R35" s="56"/>
    </row>
    <row r="36" spans="1:20" ht="12.75" customHeight="1" x14ac:dyDescent="0.2">
      <c r="A36" s="56"/>
      <c r="B36" s="167"/>
      <c r="C36" s="167"/>
      <c r="D36" s="167"/>
      <c r="E36" s="77"/>
      <c r="G36" s="76" t="s">
        <v>97</v>
      </c>
      <c r="H36" s="56"/>
    </row>
    <row r="37" spans="1:20" ht="12.75" customHeight="1" x14ac:dyDescent="0.2">
      <c r="A37" s="56"/>
      <c r="B37" s="96"/>
      <c r="C37" s="96"/>
      <c r="D37" s="96"/>
      <c r="E37" s="77"/>
      <c r="G37" s="76" t="s">
        <v>98</v>
      </c>
      <c r="H37" s="56"/>
    </row>
    <row r="38" spans="1:20" ht="12.75" customHeight="1" thickBot="1" x14ac:dyDescent="0.25">
      <c r="A38" s="56"/>
      <c r="H38" s="56"/>
      <c r="R38" s="56"/>
      <c r="S38" s="56"/>
      <c r="T38" s="56"/>
    </row>
    <row r="39" spans="1:20" ht="12.75" customHeight="1" thickTop="1" thickBot="1" x14ac:dyDescent="0.25">
      <c r="A39" s="56"/>
      <c r="B39" s="168" t="str">
        <f>"$"&amp;E5 &amp; " Bred Heifer: Gross Profit per Cow per Year"</f>
        <v>$1500 Bred Heifer: Gross Profit per Cow per Year</v>
      </c>
      <c r="C39" s="169"/>
      <c r="D39" s="169"/>
      <c r="E39" s="169"/>
      <c r="F39" s="169"/>
      <c r="G39" s="170"/>
      <c r="H39" s="11"/>
    </row>
    <row r="40" spans="1:20" ht="12.75" customHeight="1" thickTop="1" x14ac:dyDescent="0.2">
      <c r="A40" s="56"/>
      <c r="B40" s="5"/>
      <c r="C40" s="171" t="str">
        <f>"Avg. Steer/Heifer Price, "&amp;'BredHeifer (Public)'!$E$22&amp;" lbs"</f>
        <v>Avg. Steer/Heifer Price, 525 lbs</v>
      </c>
      <c r="D40" s="172"/>
      <c r="E40" s="172"/>
      <c r="F40" s="172"/>
      <c r="G40" s="173"/>
      <c r="H40" s="11"/>
    </row>
    <row r="41" spans="1:20" ht="28.5" customHeight="1" thickBot="1" x14ac:dyDescent="0.25">
      <c r="A41" s="56"/>
      <c r="B41" s="78" t="s">
        <v>68</v>
      </c>
      <c r="C41" s="4">
        <f>D41-'BredHeifer (Public)'!$E$66</f>
        <v>1.1000000000000001</v>
      </c>
      <c r="D41" s="2">
        <f>E41-'BredHeifer (Public)'!$E$66</f>
        <v>1.3</v>
      </c>
      <c r="E41" s="40">
        <f>'BredHeifer (Public)'!$E$65</f>
        <v>1.5</v>
      </c>
      <c r="F41" s="2">
        <f>E41+'BredHeifer (Public)'!$E$66</f>
        <v>1.7</v>
      </c>
      <c r="G41" s="3">
        <f>F41+'BredHeifer (Public)'!$E$66</f>
        <v>1.9</v>
      </c>
      <c r="H41" s="11"/>
    </row>
    <row r="42" spans="1:20" ht="12.75" customHeight="1" thickTop="1" x14ac:dyDescent="0.2">
      <c r="A42" s="56"/>
      <c r="B42" s="6">
        <f>B43-'BredHeifer (Public)'!$E$72</f>
        <v>300</v>
      </c>
      <c r="C42" s="120">
        <f>C43+'BredHeifer (Public)'!$E$72</f>
        <v>64.475000000000023</v>
      </c>
      <c r="D42" s="121">
        <f>D43+'BredHeifer (Public)'!$E$72</f>
        <v>153.72500000000002</v>
      </c>
      <c r="E42" s="121">
        <f>E43+'BredHeifer (Public)'!$E$72</f>
        <v>242.97500000000002</v>
      </c>
      <c r="F42" s="121">
        <f>F43+'BredHeifer (Public)'!$E$72</f>
        <v>332.22500000000002</v>
      </c>
      <c r="G42" s="122">
        <f>G43+'BredHeifer (Public)'!$E$72</f>
        <v>421.47500000000002</v>
      </c>
      <c r="H42" s="11"/>
    </row>
    <row r="43" spans="1:20" ht="12.75" customHeight="1" x14ac:dyDescent="0.2">
      <c r="A43" s="56"/>
      <c r="B43" s="7">
        <f>B44-'BredHeifer (Public)'!$E$72</f>
        <v>350</v>
      </c>
      <c r="C43" s="123">
        <f>C44+'BredHeifer (Public)'!$E$72</f>
        <v>14.475000000000023</v>
      </c>
      <c r="D43" s="8">
        <f>D44+'BredHeifer (Public)'!$E$72</f>
        <v>103.72500000000002</v>
      </c>
      <c r="E43" s="8">
        <f>E44+'BredHeifer (Public)'!$E$72</f>
        <v>192.97500000000002</v>
      </c>
      <c r="F43" s="8">
        <f>F44+'BredHeifer (Public)'!$E$72</f>
        <v>282.22500000000002</v>
      </c>
      <c r="G43" s="124">
        <f>G44+'BredHeifer (Public)'!$E$72</f>
        <v>371.47500000000002</v>
      </c>
      <c r="H43" s="11"/>
    </row>
    <row r="44" spans="1:20" ht="12.75" customHeight="1" x14ac:dyDescent="0.2">
      <c r="A44" s="56"/>
      <c r="B44" s="39">
        <f>'BredHeifer (Public)'!$E$71</f>
        <v>400</v>
      </c>
      <c r="C44" s="123">
        <f>$E$44-('BredHeifer (Public)'!$E$66*2*'BredHeifer (Public)'!$E$22*'BredHeifer (Public)'!$E$7)</f>
        <v>-35.524999999999977</v>
      </c>
      <c r="D44" s="8">
        <f>$E$44-('BredHeifer (Public)'!$E$66*'BredHeifer (Public)'!$E$22*'BredHeifer (Public)'!$E$7)</f>
        <v>53.725000000000023</v>
      </c>
      <c r="E44" s="68">
        <f>'Adjusted Heifer Prices'!AL45</f>
        <v>142.97500000000002</v>
      </c>
      <c r="F44" s="8">
        <f>$E$44+('BredHeifer (Public)'!$E$66*'BredHeifer (Public)'!$E$22*'BredHeifer (Public)'!$E$7)</f>
        <v>232.22500000000002</v>
      </c>
      <c r="G44" s="9">
        <f>$E$44+('BredHeifer (Public)'!$E$66*2*'BredHeifer (Public)'!$E$22*'BredHeifer (Public)'!$E$7)</f>
        <v>321.47500000000002</v>
      </c>
      <c r="H44" s="11"/>
    </row>
    <row r="45" spans="1:20" ht="12.75" customHeight="1" x14ac:dyDescent="0.2">
      <c r="A45" s="56"/>
      <c r="B45" s="7">
        <f>B44+'BredHeifer (Public)'!$E$72</f>
        <v>450</v>
      </c>
      <c r="C45" s="123">
        <f>C44-'BredHeifer (Public)'!$E$72</f>
        <v>-85.524999999999977</v>
      </c>
      <c r="D45" s="8">
        <f>D44-'BredHeifer (Public)'!$E$72</f>
        <v>3.7250000000000227</v>
      </c>
      <c r="E45" s="8">
        <f>E44-'BredHeifer (Public)'!$E$72</f>
        <v>92.975000000000023</v>
      </c>
      <c r="F45" s="8">
        <f>F44-'BredHeifer (Public)'!$E$72</f>
        <v>182.22500000000002</v>
      </c>
      <c r="G45" s="124">
        <f>G44-'BredHeifer (Public)'!$E$72</f>
        <v>271.47500000000002</v>
      </c>
      <c r="H45" s="11"/>
    </row>
    <row r="46" spans="1:20" ht="12.75" customHeight="1" x14ac:dyDescent="0.2">
      <c r="A46" s="56"/>
      <c r="B46" s="7">
        <f>B45+'BredHeifer (Public)'!$E$72</f>
        <v>500</v>
      </c>
      <c r="C46" s="123">
        <f>C45-'BredHeifer (Public)'!$E$72</f>
        <v>-135.52499999999998</v>
      </c>
      <c r="D46" s="8">
        <f>D45-'BredHeifer (Public)'!$E$72</f>
        <v>-46.274999999999977</v>
      </c>
      <c r="E46" s="8">
        <f>E45-'BredHeifer (Public)'!$E$72</f>
        <v>42.975000000000023</v>
      </c>
      <c r="F46" s="8">
        <f>F45-'BredHeifer (Public)'!$E$72</f>
        <v>132.22500000000002</v>
      </c>
      <c r="G46" s="124">
        <f>G45-'BredHeifer (Public)'!$E$72</f>
        <v>221.47500000000002</v>
      </c>
      <c r="H46" s="11"/>
    </row>
    <row r="47" spans="1:20" ht="28.5" customHeight="1" thickBot="1" x14ac:dyDescent="0.25">
      <c r="B47" s="174" t="s">
        <v>121</v>
      </c>
      <c r="C47" s="175"/>
      <c r="D47" s="175"/>
      <c r="E47" s="175"/>
      <c r="F47" s="175"/>
      <c r="G47" s="176"/>
      <c r="H47" s="11"/>
    </row>
    <row r="48" spans="1:20" ht="12.75" customHeight="1" thickTop="1" x14ac:dyDescent="0.2">
      <c r="H48" s="11"/>
      <c r="I48" s="80"/>
      <c r="J48" s="21"/>
      <c r="K48" s="21"/>
      <c r="L48" s="21"/>
      <c r="M48" s="21"/>
      <c r="N48" s="21"/>
    </row>
    <row r="49" spans="1:21" ht="12.75" customHeight="1" x14ac:dyDescent="0.2">
      <c r="H49" s="11"/>
      <c r="J49" s="56"/>
      <c r="K49" s="56"/>
      <c r="L49" s="56"/>
      <c r="M49" s="56"/>
      <c r="N49" s="56"/>
      <c r="O49" s="56"/>
      <c r="P49" s="56"/>
    </row>
    <row r="50" spans="1:21" ht="12.75" customHeight="1" x14ac:dyDescent="0.2">
      <c r="B50" s="97"/>
      <c r="C50" s="97"/>
      <c r="D50" s="97"/>
      <c r="E50" s="97"/>
      <c r="F50" s="97"/>
      <c r="G50" s="97"/>
      <c r="H50" s="11"/>
      <c r="K50" s="56"/>
      <c r="L50" s="56"/>
      <c r="M50" s="56"/>
      <c r="N50" s="56"/>
      <c r="O50" s="56"/>
      <c r="P50" s="56"/>
      <c r="Q50" s="56"/>
    </row>
    <row r="51" spans="1:21" ht="12.75" customHeight="1" x14ac:dyDescent="0.2">
      <c r="B51" s="97"/>
      <c r="C51" s="97"/>
      <c r="D51" s="97"/>
      <c r="E51" s="97"/>
      <c r="F51" s="97"/>
      <c r="G51" s="97"/>
      <c r="H51" s="11"/>
      <c r="K51" s="56"/>
      <c r="L51" s="56"/>
      <c r="M51" s="56"/>
      <c r="N51" s="56"/>
      <c r="O51" s="56"/>
      <c r="P51" s="56"/>
      <c r="Q51" s="56"/>
    </row>
    <row r="52" spans="1:21" ht="12.75" customHeight="1" x14ac:dyDescent="0.2">
      <c r="B52" s="97"/>
      <c r="C52" s="97"/>
      <c r="D52" s="97"/>
      <c r="E52" s="97"/>
      <c r="F52" s="97"/>
      <c r="G52" s="97"/>
      <c r="H52" s="11"/>
      <c r="K52" s="56"/>
      <c r="L52" s="56"/>
      <c r="M52" s="56"/>
      <c r="N52" s="56"/>
      <c r="O52" s="56"/>
      <c r="P52" s="56"/>
      <c r="Q52" s="56"/>
    </row>
    <row r="53" spans="1:21" ht="12.75" hidden="1" customHeight="1" x14ac:dyDescent="0.2">
      <c r="A53" s="166" t="s">
        <v>32</v>
      </c>
      <c r="B53" s="166"/>
      <c r="C53" s="166"/>
      <c r="D53" s="166"/>
      <c r="E53" s="166"/>
      <c r="F53" s="56"/>
      <c r="G53" s="56"/>
      <c r="H53" s="56"/>
      <c r="I53" s="56"/>
      <c r="K53" s="60"/>
      <c r="L53" s="60"/>
      <c r="M53" s="60"/>
      <c r="N53" s="60"/>
      <c r="O53" s="54"/>
      <c r="P53" s="56"/>
      <c r="Q53" s="56"/>
    </row>
    <row r="54" spans="1:21" ht="12.75" hidden="1" customHeight="1" x14ac:dyDescent="0.2">
      <c r="A54" s="56"/>
      <c r="B54" s="56"/>
      <c r="C54" s="56"/>
      <c r="D54" s="56"/>
      <c r="E54" s="56"/>
      <c r="F54" s="56"/>
      <c r="G54" s="56"/>
      <c r="H54" s="56"/>
      <c r="I54" s="56"/>
      <c r="K54" s="56"/>
      <c r="L54" s="56"/>
      <c r="M54" s="59"/>
      <c r="N54" s="56"/>
      <c r="O54" s="54"/>
      <c r="P54" s="56"/>
      <c r="Q54" s="56"/>
      <c r="R54" s="56"/>
    </row>
    <row r="55" spans="1:21" ht="12.75" hidden="1" customHeight="1" x14ac:dyDescent="0.2">
      <c r="A55" s="150" t="s">
        <v>25</v>
      </c>
      <c r="B55" s="150"/>
      <c r="C55" s="150"/>
      <c r="D55" s="150"/>
      <c r="E55" s="60">
        <f>'BredHeifer (Public)'!E5</f>
        <v>1500</v>
      </c>
      <c r="F55" s="56"/>
      <c r="G55" s="56"/>
      <c r="H55" s="56"/>
      <c r="I55" s="54" t="s">
        <v>67</v>
      </c>
      <c r="K55" s="56"/>
      <c r="L55" s="56"/>
      <c r="M55" s="56"/>
      <c r="N55" s="56"/>
      <c r="O55" s="56"/>
      <c r="P55" s="56"/>
      <c r="Q55" s="56"/>
      <c r="R55" s="56"/>
    </row>
    <row r="56" spans="1:21" ht="12.75" hidden="1" customHeight="1" x14ac:dyDescent="0.2">
      <c r="A56" s="150" t="s">
        <v>24</v>
      </c>
      <c r="B56" s="150"/>
      <c r="C56" s="150"/>
      <c r="D56" s="150"/>
      <c r="E56" s="135">
        <v>250</v>
      </c>
      <c r="F56" s="56"/>
      <c r="G56" s="56"/>
      <c r="H56" s="56"/>
      <c r="I56" s="54" t="s">
        <v>66</v>
      </c>
      <c r="K56" s="56"/>
      <c r="L56" s="56"/>
      <c r="M56" s="56"/>
      <c r="N56" s="56"/>
      <c r="O56" s="56"/>
      <c r="P56" s="56"/>
      <c r="Q56" s="56"/>
      <c r="R56" s="56"/>
      <c r="S56" s="56"/>
      <c r="T56" s="56"/>
      <c r="U56" s="56"/>
    </row>
    <row r="57" spans="1:21" ht="12.75" hidden="1" customHeight="1" x14ac:dyDescent="0.2">
      <c r="A57" s="150" t="str">
        <f>"Heifer Price, rounded by "&amp;E56</f>
        <v>Heifer Price, rounded by 250</v>
      </c>
      <c r="B57" s="150"/>
      <c r="C57" s="150"/>
      <c r="D57" s="150"/>
      <c r="E57" s="60">
        <f>MROUND(E55,E56)</f>
        <v>1500</v>
      </c>
      <c r="F57" s="56"/>
      <c r="G57" s="56"/>
      <c r="H57" s="56"/>
      <c r="I57" s="56"/>
      <c r="K57" s="56"/>
      <c r="L57" s="56"/>
      <c r="M57" s="56"/>
      <c r="N57" s="56"/>
      <c r="O57" s="56"/>
      <c r="P57" s="56"/>
      <c r="Q57" s="56"/>
      <c r="R57" s="56"/>
      <c r="S57" s="56"/>
      <c r="T57" s="56"/>
      <c r="U57" s="56"/>
    </row>
    <row r="58" spans="1:21" ht="12.75" hidden="1" customHeight="1" x14ac:dyDescent="0.2">
      <c r="A58" s="150" t="s">
        <v>26</v>
      </c>
      <c r="B58" s="150"/>
      <c r="C58" s="150"/>
      <c r="D58" s="150"/>
      <c r="E58" s="135">
        <v>250</v>
      </c>
      <c r="F58" s="56"/>
      <c r="G58" s="56"/>
      <c r="H58" s="56"/>
      <c r="I58" s="56"/>
      <c r="K58" s="56"/>
      <c r="L58" s="56"/>
      <c r="M58" s="56"/>
      <c r="N58" s="56"/>
      <c r="O58" s="56"/>
      <c r="P58" s="56"/>
      <c r="Q58" s="56"/>
      <c r="R58" s="56"/>
      <c r="S58" s="56"/>
      <c r="T58" s="56"/>
      <c r="U58" s="56"/>
    </row>
    <row r="59" spans="1:21" ht="12.75" hidden="1" customHeight="1" x14ac:dyDescent="0.2">
      <c r="A59" s="150" t="str">
        <f>"Heifer Price, increased by "&amp;E58</f>
        <v>Heifer Price, increased by 250</v>
      </c>
      <c r="B59" s="150"/>
      <c r="C59" s="150"/>
      <c r="D59" s="150"/>
      <c r="E59" s="60">
        <f>E57+E58</f>
        <v>1750</v>
      </c>
      <c r="F59" s="56"/>
      <c r="G59" s="56"/>
      <c r="H59" s="56"/>
      <c r="I59" s="56"/>
      <c r="K59" s="56"/>
      <c r="L59" s="56"/>
      <c r="M59" s="56"/>
      <c r="N59" s="56"/>
      <c r="O59" s="56"/>
      <c r="P59" s="56"/>
      <c r="Q59" s="56"/>
      <c r="R59" s="56"/>
      <c r="S59" s="56"/>
      <c r="T59" s="56"/>
      <c r="U59" s="56"/>
    </row>
    <row r="60" spans="1:21" ht="12.75" hidden="1" customHeight="1" x14ac:dyDescent="0.2">
      <c r="A60" s="150" t="str">
        <f>"Heifer Price, decreased by "&amp;E58</f>
        <v>Heifer Price, decreased by 250</v>
      </c>
      <c r="B60" s="150"/>
      <c r="C60" s="150"/>
      <c r="D60" s="150"/>
      <c r="E60" s="60">
        <f>E57-E58</f>
        <v>1250</v>
      </c>
      <c r="F60" s="56"/>
      <c r="G60" s="56"/>
      <c r="H60" s="56"/>
      <c r="I60" s="56"/>
      <c r="K60" s="56"/>
      <c r="L60" s="56"/>
      <c r="M60" s="56"/>
      <c r="N60" s="54"/>
      <c r="O60" s="56"/>
      <c r="P60" s="56"/>
      <c r="Q60" s="56"/>
      <c r="R60" s="56"/>
      <c r="S60" s="56"/>
      <c r="T60" s="56"/>
      <c r="U60" s="56"/>
    </row>
    <row r="61" spans="1:21" ht="12.75" hidden="1" customHeight="1" x14ac:dyDescent="0.2">
      <c r="A61" s="56"/>
      <c r="B61" s="56"/>
      <c r="C61" s="56"/>
      <c r="D61" s="56"/>
      <c r="E61" s="56"/>
      <c r="F61" s="56"/>
      <c r="G61" s="56"/>
      <c r="H61" s="56"/>
      <c r="I61" s="56"/>
      <c r="K61" s="56"/>
      <c r="L61" s="56"/>
      <c r="M61" s="56"/>
      <c r="N61" s="56"/>
      <c r="O61" s="56"/>
      <c r="P61" s="56"/>
      <c r="Q61" s="56"/>
      <c r="R61" s="56"/>
      <c r="S61" s="56"/>
      <c r="T61" s="56"/>
      <c r="U61" s="56"/>
    </row>
    <row r="62" spans="1:21" ht="12.75" hidden="1" customHeight="1" x14ac:dyDescent="0.2">
      <c r="A62" s="56"/>
      <c r="B62" s="56"/>
      <c r="C62" s="56"/>
      <c r="D62" s="56"/>
      <c r="E62" s="56"/>
      <c r="F62" s="56"/>
      <c r="G62" s="56"/>
      <c r="H62" s="56"/>
      <c r="I62" s="56"/>
      <c r="K62" s="56"/>
      <c r="L62" s="56"/>
      <c r="M62" s="56"/>
      <c r="N62" s="56"/>
      <c r="O62" s="56"/>
      <c r="P62" s="56"/>
      <c r="Q62" s="56"/>
      <c r="R62" s="56"/>
      <c r="S62" s="56"/>
      <c r="T62" s="56"/>
      <c r="U62" s="56"/>
    </row>
    <row r="63" spans="1:21" ht="12.75" hidden="1" customHeight="1" x14ac:dyDescent="0.2">
      <c r="A63" s="150" t="s">
        <v>27</v>
      </c>
      <c r="B63" s="150"/>
      <c r="C63" s="150"/>
      <c r="D63" s="150"/>
      <c r="E63" s="59">
        <f>'BredHeifer (Public)'!E25</f>
        <v>1.4523809523809523</v>
      </c>
      <c r="F63" s="56"/>
      <c r="G63" s="56"/>
      <c r="H63" s="56"/>
      <c r="I63" s="56"/>
      <c r="K63" s="56"/>
      <c r="L63" s="56"/>
      <c r="M63" s="56"/>
      <c r="N63" s="56"/>
      <c r="O63" s="56"/>
      <c r="P63" s="56"/>
      <c r="Q63" s="56"/>
      <c r="R63" s="56"/>
      <c r="S63" s="56"/>
      <c r="T63" s="56"/>
      <c r="U63" s="56"/>
    </row>
    <row r="64" spans="1:21" ht="12.75" hidden="1" customHeight="1" x14ac:dyDescent="0.2">
      <c r="A64" s="150" t="s">
        <v>28</v>
      </c>
      <c r="B64" s="150"/>
      <c r="C64" s="150"/>
      <c r="D64" s="150"/>
      <c r="E64" s="136">
        <v>0.1</v>
      </c>
      <c r="F64" s="56"/>
      <c r="G64" s="56"/>
      <c r="H64" s="56"/>
      <c r="I64" s="56"/>
      <c r="K64" s="56"/>
      <c r="L64" s="56"/>
      <c r="M64" s="56"/>
      <c r="N64" s="56"/>
      <c r="O64" s="56"/>
      <c r="P64" s="56"/>
      <c r="Q64" s="56"/>
      <c r="R64" s="56"/>
      <c r="S64" s="56"/>
      <c r="T64" s="56"/>
      <c r="U64" s="56"/>
    </row>
    <row r="65" spans="1:21" ht="12.75" hidden="1" customHeight="1" x14ac:dyDescent="0.2">
      <c r="A65" s="150" t="str">
        <f>"Rounded weighted avg., by "&amp;E64</f>
        <v>Rounded weighted avg., by 0.1</v>
      </c>
      <c r="B65" s="150"/>
      <c r="C65" s="150"/>
      <c r="D65" s="150"/>
      <c r="E65" s="61">
        <f>MROUND(E63,E64)</f>
        <v>1.5</v>
      </c>
      <c r="F65" s="56"/>
      <c r="G65" s="56"/>
      <c r="H65" s="56"/>
      <c r="I65" s="56"/>
      <c r="K65" s="56"/>
      <c r="L65" s="56"/>
      <c r="M65" s="56"/>
      <c r="N65" s="56"/>
      <c r="O65" s="56"/>
      <c r="P65" s="56"/>
      <c r="Q65" s="56"/>
      <c r="R65" s="56"/>
      <c r="S65" s="56"/>
      <c r="T65" s="56"/>
      <c r="U65" s="56"/>
    </row>
    <row r="66" spans="1:21" ht="12.75" hidden="1" customHeight="1" x14ac:dyDescent="0.2">
      <c r="A66" s="150" t="s">
        <v>55</v>
      </c>
      <c r="B66" s="150"/>
      <c r="C66" s="150"/>
      <c r="D66" s="150"/>
      <c r="E66" s="136">
        <v>0.2</v>
      </c>
      <c r="F66" s="56"/>
      <c r="G66" s="56"/>
      <c r="H66" s="56"/>
      <c r="I66" s="56"/>
      <c r="K66" s="56"/>
      <c r="L66" s="56"/>
      <c r="M66" s="56"/>
      <c r="N66" s="56"/>
      <c r="O66" s="56"/>
      <c r="P66" s="56"/>
      <c r="Q66" s="56"/>
      <c r="R66" s="56"/>
      <c r="S66" s="56"/>
      <c r="T66" s="56"/>
      <c r="U66" s="56"/>
    </row>
    <row r="67" spans="1:21" ht="12.75" hidden="1" customHeight="1" x14ac:dyDescent="0.2">
      <c r="A67" s="56"/>
      <c r="B67" s="56"/>
      <c r="C67" s="56"/>
      <c r="D67" s="56"/>
      <c r="E67" s="56"/>
      <c r="F67" s="56"/>
      <c r="G67" s="56"/>
      <c r="H67" s="56"/>
      <c r="I67" s="56"/>
      <c r="K67" s="56"/>
      <c r="L67" s="56"/>
      <c r="M67" s="56"/>
      <c r="N67" s="56"/>
      <c r="O67" s="56"/>
      <c r="P67" s="56"/>
      <c r="Q67" s="56"/>
      <c r="R67" s="56"/>
      <c r="S67" s="56"/>
      <c r="T67" s="56"/>
      <c r="U67" s="56"/>
    </row>
    <row r="68" spans="1:21" ht="12.75" hidden="1" customHeight="1" x14ac:dyDescent="0.2">
      <c r="A68" s="56"/>
      <c r="B68" s="56"/>
      <c r="C68" s="56"/>
      <c r="D68" s="56"/>
      <c r="E68" s="56"/>
      <c r="F68" s="56"/>
      <c r="G68" s="56"/>
      <c r="H68" s="56"/>
      <c r="I68" s="56"/>
      <c r="J68" s="56"/>
      <c r="K68" s="56"/>
      <c r="L68" s="56"/>
      <c r="M68" s="56"/>
      <c r="N68" s="56"/>
      <c r="O68" s="56"/>
      <c r="P68" s="56"/>
      <c r="Q68" s="56"/>
      <c r="R68" s="56"/>
      <c r="S68" s="56"/>
      <c r="T68" s="56"/>
      <c r="U68" s="56"/>
    </row>
    <row r="69" spans="1:21" ht="12.75" hidden="1" customHeight="1" x14ac:dyDescent="0.2">
      <c r="A69" s="150" t="s">
        <v>29</v>
      </c>
      <c r="B69" s="150"/>
      <c r="C69" s="150"/>
      <c r="D69" s="150"/>
      <c r="E69" s="60">
        <f>IF('BredHeifer (Public)'!D15=I56,'BredHeifer (Public)'!E16,'BredHeifer (Public)'!E17)</f>
        <v>400</v>
      </c>
      <c r="F69" s="56"/>
      <c r="G69" s="56"/>
      <c r="J69" s="56"/>
      <c r="K69" s="56"/>
      <c r="L69" s="56"/>
      <c r="M69" s="56"/>
      <c r="N69" s="56"/>
      <c r="O69" s="56"/>
      <c r="P69" s="56"/>
      <c r="Q69" s="56"/>
      <c r="R69" s="56"/>
      <c r="S69" s="56"/>
      <c r="T69" s="56"/>
      <c r="U69" s="56"/>
    </row>
    <row r="70" spans="1:21" ht="12.75" hidden="1" customHeight="1" x14ac:dyDescent="0.2">
      <c r="A70" s="150" t="s">
        <v>30</v>
      </c>
      <c r="B70" s="150"/>
      <c r="C70" s="150"/>
      <c r="D70" s="150"/>
      <c r="E70" s="135">
        <v>50</v>
      </c>
      <c r="F70" s="56"/>
      <c r="G70" s="56"/>
      <c r="J70" s="56"/>
      <c r="K70" s="56"/>
      <c r="L70" s="56"/>
      <c r="M70" s="56"/>
      <c r="N70" s="56"/>
      <c r="O70" s="56"/>
      <c r="P70" s="56"/>
      <c r="Q70" s="56"/>
      <c r="R70" s="56"/>
      <c r="S70" s="56"/>
      <c r="T70" s="56"/>
      <c r="U70" s="56"/>
    </row>
    <row r="71" spans="1:21" ht="12.75" hidden="1" customHeight="1" x14ac:dyDescent="0.2">
      <c r="A71" s="150" t="str">
        <f>"Cow maint. cost, rounded by "&amp;E70</f>
        <v>Cow maint. cost, rounded by 50</v>
      </c>
      <c r="B71" s="150"/>
      <c r="C71" s="150"/>
      <c r="D71" s="150"/>
      <c r="E71" s="60">
        <f>MROUND(E69,E70)</f>
        <v>400</v>
      </c>
      <c r="F71" s="56"/>
      <c r="G71" s="56"/>
      <c r="H71" s="56"/>
      <c r="I71" s="56"/>
      <c r="J71" s="56"/>
      <c r="K71" s="56"/>
      <c r="L71" s="56"/>
      <c r="M71" s="56"/>
      <c r="N71" s="56"/>
      <c r="O71" s="56"/>
      <c r="P71" s="56"/>
      <c r="Q71" s="56"/>
      <c r="R71" s="56"/>
      <c r="S71" s="56"/>
      <c r="T71" s="56"/>
      <c r="U71" s="56"/>
    </row>
    <row r="72" spans="1:21" ht="12.75" hidden="1" customHeight="1" x14ac:dyDescent="0.2">
      <c r="A72" s="150" t="s">
        <v>64</v>
      </c>
      <c r="B72" s="150"/>
      <c r="C72" s="150"/>
      <c r="D72" s="150"/>
      <c r="E72" s="135">
        <v>50</v>
      </c>
      <c r="F72" s="56"/>
      <c r="G72" s="56"/>
      <c r="H72" s="56"/>
      <c r="I72" s="56"/>
      <c r="J72" s="56"/>
      <c r="K72" s="56"/>
      <c r="L72" s="56"/>
      <c r="M72" s="56"/>
      <c r="N72" s="56"/>
      <c r="O72" s="56"/>
      <c r="P72" s="56"/>
      <c r="Q72" s="56"/>
      <c r="R72" s="56"/>
      <c r="S72" s="56"/>
      <c r="T72" s="56"/>
      <c r="U72" s="56"/>
    </row>
    <row r="73" spans="1:21" ht="12.75" customHeight="1" x14ac:dyDescent="0.2">
      <c r="J73" s="56"/>
      <c r="K73" s="56"/>
      <c r="L73" s="56"/>
      <c r="M73" s="56"/>
      <c r="N73" s="56"/>
      <c r="O73" s="56"/>
      <c r="P73" s="56"/>
      <c r="Q73" s="56"/>
      <c r="R73" s="56"/>
      <c r="S73" s="56"/>
      <c r="T73" s="56"/>
      <c r="U73" s="56"/>
    </row>
    <row r="74" spans="1:21" ht="12.75" customHeight="1" x14ac:dyDescent="0.2">
      <c r="J74" s="56"/>
      <c r="K74" s="56"/>
      <c r="L74" s="56"/>
      <c r="M74" s="56"/>
      <c r="N74" s="56"/>
      <c r="O74" s="56"/>
      <c r="P74" s="56"/>
      <c r="Q74" s="56"/>
      <c r="R74" s="56"/>
      <c r="S74" s="56"/>
      <c r="T74" s="56"/>
      <c r="U74" s="56"/>
    </row>
    <row r="75" spans="1:21" ht="12.75" customHeight="1" x14ac:dyDescent="0.2">
      <c r="J75" s="56"/>
      <c r="K75" s="56"/>
      <c r="L75" s="56"/>
      <c r="M75" s="56"/>
      <c r="N75" s="56"/>
      <c r="O75" s="56"/>
      <c r="P75" s="56"/>
      <c r="Q75" s="56"/>
      <c r="R75" s="56"/>
      <c r="S75" s="56"/>
      <c r="T75" s="56"/>
      <c r="U75" s="56"/>
    </row>
    <row r="76" spans="1:21" ht="12.75" customHeight="1" x14ac:dyDescent="0.2">
      <c r="J76" s="56"/>
      <c r="K76" s="56"/>
      <c r="L76" s="56"/>
      <c r="M76" s="56"/>
      <c r="N76" s="56"/>
      <c r="O76" s="56"/>
      <c r="P76" s="56"/>
      <c r="Q76" s="56"/>
      <c r="R76" s="56"/>
      <c r="S76" s="56"/>
      <c r="T76" s="56"/>
      <c r="U76" s="56"/>
    </row>
    <row r="77" spans="1:21" ht="12.75" customHeight="1" x14ac:dyDescent="0.2">
      <c r="J77" s="56"/>
      <c r="P77" s="56"/>
      <c r="Q77" s="56"/>
      <c r="R77" s="56"/>
      <c r="S77" s="56"/>
      <c r="T77" s="56"/>
      <c r="U77" s="56"/>
    </row>
    <row r="78" spans="1:21" ht="12.75" customHeight="1" x14ac:dyDescent="0.2">
      <c r="J78" s="56"/>
      <c r="P78" s="56"/>
      <c r="Q78" s="56"/>
      <c r="R78" s="56"/>
      <c r="S78" s="56"/>
      <c r="T78" s="56"/>
      <c r="U78" s="56"/>
    </row>
    <row r="79" spans="1:21" x14ac:dyDescent="0.2">
      <c r="J79" s="56"/>
      <c r="P79" s="56"/>
      <c r="Q79" s="56"/>
      <c r="R79" s="56"/>
      <c r="S79" s="56"/>
      <c r="T79" s="56"/>
      <c r="U79" s="56"/>
    </row>
    <row r="80" spans="1:21" x14ac:dyDescent="0.2">
      <c r="F80" s="56"/>
      <c r="G80" s="56"/>
      <c r="H80" s="56"/>
      <c r="I80" s="56"/>
      <c r="J80" s="56"/>
      <c r="P80" s="56"/>
      <c r="Q80" s="56"/>
      <c r="R80" s="56"/>
      <c r="S80" s="56"/>
      <c r="T80" s="56"/>
      <c r="U80" s="56"/>
    </row>
    <row r="81" spans="4:21" x14ac:dyDescent="0.2">
      <c r="D81" s="56"/>
      <c r="E81" s="56"/>
      <c r="F81" s="56"/>
      <c r="G81" s="56"/>
      <c r="H81" s="56"/>
      <c r="I81" s="56"/>
      <c r="P81" s="56"/>
      <c r="Q81" s="56"/>
      <c r="R81" s="56"/>
      <c r="S81" s="56"/>
      <c r="T81" s="56"/>
      <c r="U81" s="56"/>
    </row>
    <row r="82" spans="4:21" x14ac:dyDescent="0.2">
      <c r="D82" s="56"/>
      <c r="E82" s="56"/>
      <c r="F82" s="56"/>
      <c r="G82" s="56"/>
      <c r="H82" s="56"/>
      <c r="I82" s="56"/>
      <c r="R82" s="56"/>
      <c r="S82" s="56"/>
      <c r="T82" s="56"/>
      <c r="U82" s="56"/>
    </row>
    <row r="83" spans="4:21" x14ac:dyDescent="0.2">
      <c r="D83" s="56"/>
      <c r="E83" s="56"/>
      <c r="F83" s="56"/>
      <c r="G83" s="56"/>
      <c r="H83" s="56"/>
      <c r="I83" s="56"/>
      <c r="R83" s="56"/>
      <c r="S83" s="56"/>
      <c r="T83" s="56"/>
      <c r="U83" s="56"/>
    </row>
    <row r="84" spans="4:21" x14ac:dyDescent="0.2">
      <c r="D84" s="56"/>
      <c r="E84" s="56"/>
      <c r="F84" s="56"/>
      <c r="G84" s="56"/>
      <c r="H84" s="56"/>
      <c r="I84" s="56"/>
      <c r="S84" s="56"/>
      <c r="T84" s="56"/>
      <c r="U84" s="56"/>
    </row>
    <row r="85" spans="4:21" x14ac:dyDescent="0.2">
      <c r="D85" s="56"/>
      <c r="E85" s="56"/>
      <c r="F85" s="56"/>
      <c r="G85" s="56"/>
      <c r="H85" s="56"/>
      <c r="I85" s="56"/>
      <c r="S85" s="56"/>
      <c r="T85" s="56"/>
      <c r="U85" s="56"/>
    </row>
    <row r="86" spans="4:21" x14ac:dyDescent="0.2">
      <c r="D86" s="56"/>
      <c r="E86" s="56"/>
    </row>
  </sheetData>
  <sheetProtection password="8797" sheet="1" objects="1" scenarios="1" formatCells="0" formatColumns="0" formatRows="0"/>
  <protectedRanges>
    <protectedRange sqref="M15" name="Range11"/>
    <protectedRange sqref="O13:O15" name="Range9"/>
    <protectedRange sqref="O19 O5:O12" name="Range4"/>
    <protectedRange sqref="M19 M5:M9" name="Range3"/>
    <protectedRange sqref="K15:L15" name="Range10"/>
  </protectedRanges>
  <mergeCells count="59">
    <mergeCell ref="K9:L9"/>
    <mergeCell ref="K13:L13"/>
    <mergeCell ref="K14:L14"/>
    <mergeCell ref="K15:L15"/>
    <mergeCell ref="A65:D65"/>
    <mergeCell ref="A64:D64"/>
    <mergeCell ref="A63:D63"/>
    <mergeCell ref="A57:D57"/>
    <mergeCell ref="A56:D56"/>
    <mergeCell ref="A60:D60"/>
    <mergeCell ref="A59:D59"/>
    <mergeCell ref="A58:D58"/>
    <mergeCell ref="B39:G39"/>
    <mergeCell ref="C40:G40"/>
    <mergeCell ref="B47:G47"/>
    <mergeCell ref="B33:D33"/>
    <mergeCell ref="A72:D72"/>
    <mergeCell ref="A71:D71"/>
    <mergeCell ref="A70:D70"/>
    <mergeCell ref="A69:D69"/>
    <mergeCell ref="A66:D66"/>
    <mergeCell ref="B35:D35"/>
    <mergeCell ref="A55:D55"/>
    <mergeCell ref="A53:E53"/>
    <mergeCell ref="B32:D32"/>
    <mergeCell ref="B31:D31"/>
    <mergeCell ref="B36:D36"/>
    <mergeCell ref="B30:D30"/>
    <mergeCell ref="K4:P4"/>
    <mergeCell ref="K12:L12"/>
    <mergeCell ref="K11:L11"/>
    <mergeCell ref="K10:L10"/>
    <mergeCell ref="K7:L7"/>
    <mergeCell ref="K6:L6"/>
    <mergeCell ref="K5:L5"/>
    <mergeCell ref="D15:E15"/>
    <mergeCell ref="B28:D28"/>
    <mergeCell ref="B27:D27"/>
    <mergeCell ref="B8:D8"/>
    <mergeCell ref="B20:D20"/>
    <mergeCell ref="B25:D25"/>
    <mergeCell ref="B24:D24"/>
    <mergeCell ref="B23:D23"/>
    <mergeCell ref="B22:D22"/>
    <mergeCell ref="B21:D21"/>
    <mergeCell ref="B5:D5"/>
    <mergeCell ref="B2:J2"/>
    <mergeCell ref="B11:D11"/>
    <mergeCell ref="B10:D10"/>
    <mergeCell ref="B9:D9"/>
    <mergeCell ref="B4:E4"/>
    <mergeCell ref="B7:D7"/>
    <mergeCell ref="B6:D6"/>
    <mergeCell ref="B14:E14"/>
    <mergeCell ref="B12:D12"/>
    <mergeCell ref="B17:D17"/>
    <mergeCell ref="B16:D16"/>
    <mergeCell ref="B19:E19"/>
    <mergeCell ref="B15:C15"/>
  </mergeCells>
  <conditionalFormatting sqref="B16:E16">
    <cfRule type="expression" dxfId="1" priority="7">
      <formula>$D$15=$I$55</formula>
    </cfRule>
  </conditionalFormatting>
  <conditionalFormatting sqref="B17:E17">
    <cfRule type="expression" dxfId="0" priority="8">
      <formula>$D$15=$I$56</formula>
    </cfRule>
  </conditionalFormatting>
  <dataValidations count="1">
    <dataValidation type="list" allowBlank="1" showInputMessage="1" showErrorMessage="1" sqref="D15">
      <formula1>$I$55:$I$56</formula1>
    </dataValidation>
  </dataValidations>
  <pageMargins left="0.75" right="0.75" top="1" bottom="1" header="0.5" footer="0.5"/>
  <pageSetup orientation="portrait" r:id="rId1"/>
  <headerFooter alignWithMargins="0"/>
  <ignoredErrors>
    <ignoredError sqref="M6" unlockedFormula="1"/>
  </ignoredError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AQ49"/>
  <sheetViews>
    <sheetView workbookViewId="0">
      <selection activeCell="G2" sqref="G2"/>
    </sheetView>
  </sheetViews>
  <sheetFormatPr defaultRowHeight="12.75" x14ac:dyDescent="0.2"/>
  <cols>
    <col min="31" max="31" width="10" bestFit="1" customWidth="1"/>
  </cols>
  <sheetData>
    <row r="2" spans="1:43" x14ac:dyDescent="0.2">
      <c r="B2" s="94" t="s">
        <v>78</v>
      </c>
    </row>
    <row r="3" spans="1:43" x14ac:dyDescent="0.2">
      <c r="B3" s="94" t="s">
        <v>77</v>
      </c>
      <c r="I3" s="94"/>
      <c r="R3" s="94"/>
    </row>
    <row r="4" spans="1:43" x14ac:dyDescent="0.2">
      <c r="B4" s="94" t="s">
        <v>63</v>
      </c>
      <c r="I4" s="94"/>
      <c r="R4" s="94"/>
    </row>
    <row r="5" spans="1:43" x14ac:dyDescent="0.2">
      <c r="U5" s="42"/>
    </row>
    <row r="6" spans="1:43" x14ac:dyDescent="0.2">
      <c r="A6" s="183" t="s">
        <v>62</v>
      </c>
      <c r="B6" s="183"/>
      <c r="C6" s="183"/>
      <c r="D6" s="183"/>
      <c r="E6" s="183"/>
      <c r="F6" s="183"/>
      <c r="G6" s="183"/>
      <c r="H6" s="183"/>
      <c r="I6" s="183"/>
      <c r="J6" s="184"/>
      <c r="K6" s="182" t="s">
        <v>61</v>
      </c>
      <c r="L6" s="185"/>
      <c r="M6" s="185"/>
      <c r="N6" s="185"/>
      <c r="O6" s="185"/>
      <c r="P6" s="185"/>
      <c r="Q6" s="185"/>
      <c r="R6" s="185"/>
      <c r="S6" s="185"/>
      <c r="T6" s="185"/>
      <c r="U6" s="184"/>
      <c r="V6" s="182" t="s">
        <v>60</v>
      </c>
      <c r="W6" s="183"/>
      <c r="X6" s="183"/>
      <c r="Y6" s="183"/>
      <c r="Z6" s="183"/>
      <c r="AA6" s="183"/>
      <c r="AB6" s="183"/>
      <c r="AC6" s="183"/>
      <c r="AD6" s="183"/>
      <c r="AE6" s="183"/>
      <c r="AF6" s="184"/>
      <c r="AG6" s="177" t="s">
        <v>122</v>
      </c>
      <c r="AH6" s="166"/>
      <c r="AI6" s="166"/>
      <c r="AJ6" s="166"/>
      <c r="AK6" s="166"/>
      <c r="AL6" s="166"/>
      <c r="AM6" s="166"/>
      <c r="AN6" s="166"/>
      <c r="AO6" s="166"/>
      <c r="AP6" s="166"/>
      <c r="AQ6" s="178"/>
    </row>
    <row r="7" spans="1:43" x14ac:dyDescent="0.2">
      <c r="A7" s="21"/>
      <c r="B7" s="21"/>
      <c r="C7" s="21"/>
      <c r="D7" s="21"/>
      <c r="E7" s="21"/>
      <c r="F7" s="21"/>
      <c r="G7" s="21"/>
      <c r="H7" s="21"/>
      <c r="I7" s="21"/>
      <c r="J7" s="43"/>
      <c r="L7" s="21"/>
      <c r="M7" s="21"/>
      <c r="N7" s="21"/>
      <c r="O7" s="21"/>
      <c r="P7" s="21"/>
      <c r="Q7" s="21"/>
      <c r="R7" s="21"/>
      <c r="S7" s="21"/>
      <c r="T7" s="21"/>
      <c r="U7" s="43"/>
      <c r="W7" s="21"/>
      <c r="X7" s="21"/>
      <c r="Y7" s="21"/>
      <c r="Z7" s="21"/>
      <c r="AA7" s="21"/>
      <c r="AB7" s="21"/>
      <c r="AC7" s="21"/>
      <c r="AD7" s="21"/>
      <c r="AE7" s="21"/>
      <c r="AH7" s="21"/>
      <c r="AI7" s="21"/>
      <c r="AJ7" s="21"/>
      <c r="AK7" s="21"/>
      <c r="AL7" s="21"/>
      <c r="AM7" s="21"/>
      <c r="AN7" s="21"/>
      <c r="AO7" s="21"/>
      <c r="AP7" s="21"/>
    </row>
    <row r="8" spans="1:43" x14ac:dyDescent="0.2">
      <c r="A8" s="22" t="s">
        <v>35</v>
      </c>
      <c r="B8" s="23"/>
      <c r="C8" s="23"/>
      <c r="D8" s="23"/>
      <c r="E8" s="21"/>
      <c r="F8" s="21"/>
      <c r="G8" s="21"/>
      <c r="H8" s="21"/>
      <c r="I8" s="21"/>
      <c r="J8" s="43"/>
      <c r="L8" s="22" t="s">
        <v>35</v>
      </c>
      <c r="M8" s="23"/>
      <c r="N8" s="23"/>
      <c r="O8" s="23"/>
      <c r="P8" s="21"/>
      <c r="Q8" s="21"/>
      <c r="R8" s="21"/>
      <c r="S8" s="21"/>
      <c r="T8" s="21"/>
      <c r="U8" s="43"/>
      <c r="W8" s="22" t="s">
        <v>35</v>
      </c>
      <c r="X8" s="23"/>
      <c r="Y8" s="23"/>
      <c r="Z8" s="23"/>
      <c r="AA8" s="21"/>
      <c r="AB8" s="21"/>
      <c r="AC8" s="21"/>
      <c r="AD8" s="21"/>
      <c r="AE8" s="21"/>
      <c r="AH8" s="22" t="s">
        <v>35</v>
      </c>
      <c r="AI8" s="23"/>
      <c r="AJ8" s="23"/>
      <c r="AK8" s="23"/>
      <c r="AL8" s="21"/>
      <c r="AM8" s="21"/>
      <c r="AN8" s="21"/>
      <c r="AO8" s="21"/>
      <c r="AP8" s="21"/>
    </row>
    <row r="9" spans="1:43" x14ac:dyDescent="0.2">
      <c r="A9" s="51" t="s">
        <v>31</v>
      </c>
      <c r="B9" s="51"/>
      <c r="C9" s="51"/>
      <c r="D9" s="50">
        <f>'BredHeifer (Public)'!E57</f>
        <v>1500</v>
      </c>
      <c r="E9" s="25"/>
      <c r="F9" s="51" t="s">
        <v>23</v>
      </c>
      <c r="G9" s="51"/>
      <c r="H9" s="51"/>
      <c r="I9" s="47">
        <f>'BredHeifer (Public)'!E9</f>
        <v>0.05</v>
      </c>
      <c r="J9" s="63"/>
      <c r="L9" s="24" t="s">
        <v>31</v>
      </c>
      <c r="M9" s="24"/>
      <c r="N9" s="24"/>
      <c r="O9" s="50">
        <f>'BredHeifer (Public)'!E59</f>
        <v>1750</v>
      </c>
      <c r="P9" s="25"/>
      <c r="Q9" s="24" t="s">
        <v>23</v>
      </c>
      <c r="R9" s="24"/>
      <c r="S9" s="24"/>
      <c r="T9" s="47">
        <f>'BredHeifer (Public)'!E9</f>
        <v>0.05</v>
      </c>
      <c r="U9" s="43"/>
      <c r="W9" s="24" t="s">
        <v>31</v>
      </c>
      <c r="X9" s="24"/>
      <c r="Y9" s="24"/>
      <c r="Z9" s="50">
        <f>'BredHeifer (Public)'!E60</f>
        <v>1250</v>
      </c>
      <c r="AA9" s="25"/>
      <c r="AB9" s="24" t="s">
        <v>23</v>
      </c>
      <c r="AC9" s="24"/>
      <c r="AD9" s="24"/>
      <c r="AE9" s="45">
        <f>'BredHeifer (Public)'!E9</f>
        <v>0.05</v>
      </c>
      <c r="AH9" s="138" t="s">
        <v>31</v>
      </c>
      <c r="AI9" s="138"/>
      <c r="AJ9" s="138"/>
      <c r="AK9" s="50">
        <f>'BredHeifer (Public)'!E5</f>
        <v>1500</v>
      </c>
      <c r="AL9" s="25"/>
      <c r="AM9" s="138" t="s">
        <v>23</v>
      </c>
      <c r="AN9" s="138"/>
      <c r="AO9" s="138"/>
      <c r="AP9" s="45">
        <f>'BredHeifer (Public)'!E9</f>
        <v>0.05</v>
      </c>
    </row>
    <row r="10" spans="1:43" x14ac:dyDescent="0.2">
      <c r="A10" s="51" t="s">
        <v>21</v>
      </c>
      <c r="B10" s="51"/>
      <c r="C10" s="51"/>
      <c r="D10" s="44">
        <f>'BredHeifer (Public)'!E6</f>
        <v>8</v>
      </c>
      <c r="E10" s="26"/>
      <c r="F10" s="51" t="s">
        <v>0</v>
      </c>
      <c r="G10" s="51"/>
      <c r="H10" s="51"/>
      <c r="I10" s="41">
        <f>'BredHeifer (Public)'!E10</f>
        <v>800</v>
      </c>
      <c r="J10" s="64"/>
      <c r="L10" s="24" t="s">
        <v>21</v>
      </c>
      <c r="M10" s="24"/>
      <c r="N10" s="24"/>
      <c r="O10" s="44">
        <f>'BredHeifer (Public)'!E6</f>
        <v>8</v>
      </c>
      <c r="P10" s="26"/>
      <c r="Q10" s="24" t="s">
        <v>0</v>
      </c>
      <c r="R10" s="24"/>
      <c r="S10" s="24"/>
      <c r="T10" s="41">
        <f>'BredHeifer (Public)'!E10</f>
        <v>800</v>
      </c>
      <c r="U10" s="43"/>
      <c r="W10" s="24" t="s">
        <v>21</v>
      </c>
      <c r="X10" s="24"/>
      <c r="Y10" s="24"/>
      <c r="Z10" s="44">
        <f>'BredHeifer (Public)'!E6</f>
        <v>8</v>
      </c>
      <c r="AA10" s="26"/>
      <c r="AB10" s="24" t="s">
        <v>0</v>
      </c>
      <c r="AC10" s="24"/>
      <c r="AD10" s="24"/>
      <c r="AE10" s="41">
        <f>'BredHeifer (Public)'!E10</f>
        <v>800</v>
      </c>
      <c r="AH10" s="138" t="s">
        <v>21</v>
      </c>
      <c r="AI10" s="138"/>
      <c r="AJ10" s="138"/>
      <c r="AK10" s="44">
        <f>'BredHeifer (Public)'!E6</f>
        <v>8</v>
      </c>
      <c r="AL10" s="26"/>
      <c r="AM10" s="138" t="s">
        <v>0</v>
      </c>
      <c r="AN10" s="138"/>
      <c r="AO10" s="138"/>
      <c r="AP10" s="41">
        <f>'BredHeifer (Public)'!E10</f>
        <v>800</v>
      </c>
    </row>
    <row r="11" spans="1:43" x14ac:dyDescent="0.2">
      <c r="A11" s="51" t="s">
        <v>6</v>
      </c>
      <c r="B11" s="51"/>
      <c r="C11" s="51"/>
      <c r="D11" s="44">
        <f>'BredHeifer (Public)'!E7</f>
        <v>0.85</v>
      </c>
      <c r="E11" s="27"/>
      <c r="F11" s="51" t="s">
        <v>22</v>
      </c>
      <c r="G11" s="51"/>
      <c r="H11" s="51"/>
      <c r="I11" s="13">
        <f>I10*(1-I9)</f>
        <v>760</v>
      </c>
      <c r="J11" s="65"/>
      <c r="L11" s="24" t="s">
        <v>6</v>
      </c>
      <c r="M11" s="24"/>
      <c r="N11" s="24"/>
      <c r="O11" s="45">
        <f>'BredHeifer (Public)'!E7</f>
        <v>0.85</v>
      </c>
      <c r="P11" s="27"/>
      <c r="Q11" s="24" t="s">
        <v>22</v>
      </c>
      <c r="R11" s="24"/>
      <c r="S11" s="24"/>
      <c r="T11" s="13">
        <f>T10*(1-T9)</f>
        <v>760</v>
      </c>
      <c r="U11" s="43"/>
      <c r="W11" s="24" t="s">
        <v>6</v>
      </c>
      <c r="X11" s="24"/>
      <c r="Y11" s="24"/>
      <c r="Z11" s="49">
        <f>'BredHeifer (Public)'!E7</f>
        <v>0.85</v>
      </c>
      <c r="AA11" s="27"/>
      <c r="AB11" s="24" t="s">
        <v>22</v>
      </c>
      <c r="AC11" s="24"/>
      <c r="AD11" s="24"/>
      <c r="AE11" s="13">
        <f>AE10*(1-AE9)</f>
        <v>760</v>
      </c>
      <c r="AH11" s="138" t="s">
        <v>6</v>
      </c>
      <c r="AI11" s="138"/>
      <c r="AJ11" s="138"/>
      <c r="AK11" s="49">
        <f>'BredHeifer (Public)'!E7</f>
        <v>0.85</v>
      </c>
      <c r="AL11" s="27"/>
      <c r="AM11" s="138" t="s">
        <v>22</v>
      </c>
      <c r="AN11" s="138"/>
      <c r="AO11" s="138"/>
      <c r="AP11" s="13">
        <f>'BredHeifer (Public)'!E11</f>
        <v>760</v>
      </c>
    </row>
    <row r="12" spans="1:43" x14ac:dyDescent="0.2">
      <c r="A12" s="51" t="s">
        <v>48</v>
      </c>
      <c r="B12" s="51"/>
      <c r="C12" s="51"/>
      <c r="D12" s="14">
        <f>D10*D11</f>
        <v>6.8</v>
      </c>
      <c r="E12" s="28"/>
      <c r="F12" s="21"/>
      <c r="G12" s="21"/>
      <c r="H12" s="21"/>
      <c r="I12" s="21"/>
      <c r="J12" s="43"/>
      <c r="L12" s="24" t="s">
        <v>48</v>
      </c>
      <c r="M12" s="24"/>
      <c r="N12" s="24"/>
      <c r="O12" s="14">
        <f>O10*O11</f>
        <v>6.8</v>
      </c>
      <c r="P12" s="28"/>
      <c r="Q12" s="21"/>
      <c r="R12" s="21"/>
      <c r="S12" s="21"/>
      <c r="T12" s="21"/>
      <c r="U12" s="43"/>
      <c r="W12" s="24" t="s">
        <v>48</v>
      </c>
      <c r="X12" s="24"/>
      <c r="Y12" s="24"/>
      <c r="Z12" s="14">
        <f>Z10*Z11</f>
        <v>6.8</v>
      </c>
      <c r="AA12" s="28"/>
      <c r="AB12" s="21"/>
      <c r="AC12" s="21"/>
      <c r="AD12" s="21"/>
      <c r="AE12" s="21"/>
      <c r="AH12" s="138" t="s">
        <v>48</v>
      </c>
      <c r="AI12" s="138"/>
      <c r="AJ12" s="138"/>
      <c r="AK12" s="14">
        <f>'BredHeifer (Public)'!E8</f>
        <v>6.8</v>
      </c>
      <c r="AL12" s="28"/>
      <c r="AM12" s="21"/>
      <c r="AN12" s="21"/>
      <c r="AO12" s="21"/>
      <c r="AP12" s="21"/>
    </row>
    <row r="13" spans="1:43" x14ac:dyDescent="0.2">
      <c r="A13" s="21"/>
      <c r="B13" s="21"/>
      <c r="C13" s="21"/>
      <c r="D13" s="21"/>
      <c r="E13" s="21"/>
      <c r="F13" s="21"/>
      <c r="G13" s="21"/>
      <c r="H13" s="21"/>
      <c r="I13" s="21"/>
      <c r="J13" s="43"/>
      <c r="L13" s="21"/>
      <c r="M13" s="21"/>
      <c r="N13" s="21"/>
      <c r="O13" s="21"/>
      <c r="P13" s="21"/>
      <c r="Q13" s="21"/>
      <c r="R13" s="21"/>
      <c r="S13" s="21"/>
      <c r="T13" s="21"/>
      <c r="U13" s="43"/>
      <c r="W13" s="21"/>
      <c r="X13" s="21"/>
      <c r="Y13" s="21"/>
      <c r="Z13" s="21"/>
      <c r="AA13" s="21"/>
      <c r="AB13" s="21"/>
      <c r="AC13" s="21"/>
      <c r="AD13" s="21"/>
      <c r="AE13" s="21"/>
      <c r="AH13" s="21"/>
      <c r="AI13" s="21"/>
      <c r="AJ13" s="21"/>
      <c r="AK13" s="21"/>
      <c r="AL13" s="21"/>
      <c r="AM13" s="21"/>
      <c r="AN13" s="21"/>
      <c r="AO13" s="21"/>
      <c r="AP13" s="21"/>
    </row>
    <row r="14" spans="1:43" x14ac:dyDescent="0.2">
      <c r="A14" s="22" t="s">
        <v>34</v>
      </c>
      <c r="B14" s="22"/>
      <c r="C14" s="22"/>
      <c r="D14" s="29"/>
      <c r="E14" s="30"/>
      <c r="F14" s="21"/>
      <c r="G14" s="21"/>
      <c r="H14" s="21"/>
      <c r="I14" s="21"/>
      <c r="J14" s="43"/>
      <c r="L14" s="22" t="s">
        <v>34</v>
      </c>
      <c r="M14" s="22"/>
      <c r="N14" s="22"/>
      <c r="O14" s="29"/>
      <c r="P14" s="30"/>
      <c r="Q14" s="21"/>
      <c r="R14" s="21"/>
      <c r="S14" s="21"/>
      <c r="T14" s="21"/>
      <c r="U14" s="43"/>
      <c r="W14" s="22" t="s">
        <v>34</v>
      </c>
      <c r="X14" s="22"/>
      <c r="Y14" s="22"/>
      <c r="Z14" s="29"/>
      <c r="AA14" s="30"/>
      <c r="AB14" s="21"/>
      <c r="AC14" s="21"/>
      <c r="AD14" s="21"/>
      <c r="AE14" s="21"/>
      <c r="AH14" s="22" t="s">
        <v>34</v>
      </c>
      <c r="AI14" s="22"/>
      <c r="AJ14" s="22"/>
      <c r="AK14" s="29"/>
      <c r="AL14" s="30"/>
      <c r="AM14" s="21"/>
      <c r="AN14" s="21"/>
      <c r="AO14" s="21"/>
      <c r="AP14" s="21"/>
    </row>
    <row r="15" spans="1:43" x14ac:dyDescent="0.2">
      <c r="A15" s="51" t="s">
        <v>42</v>
      </c>
      <c r="B15" s="51"/>
      <c r="C15" s="51"/>
      <c r="D15" s="48">
        <f>'BredHeifer (Public)'!E20</f>
        <v>550</v>
      </c>
      <c r="E15" s="31"/>
      <c r="F15" s="52" t="s">
        <v>45</v>
      </c>
      <c r="G15" s="52"/>
      <c r="H15" s="52"/>
      <c r="I15" s="46">
        <f>'BredHeifer (Public)'!E23</f>
        <v>1.5</v>
      </c>
      <c r="J15" s="66"/>
      <c r="L15" s="24" t="s">
        <v>42</v>
      </c>
      <c r="M15" s="24"/>
      <c r="N15" s="24"/>
      <c r="O15" s="48">
        <f>'BredHeifer (Public)'!E20</f>
        <v>550</v>
      </c>
      <c r="P15" s="31"/>
      <c r="Q15" s="32" t="s">
        <v>45</v>
      </c>
      <c r="R15" s="32"/>
      <c r="S15" s="32"/>
      <c r="T15" s="46">
        <f>'BredHeifer (Public)'!E23</f>
        <v>1.5</v>
      </c>
      <c r="U15" s="43"/>
      <c r="W15" s="24" t="s">
        <v>42</v>
      </c>
      <c r="X15" s="24"/>
      <c r="Y15" s="24"/>
      <c r="Z15" s="48">
        <f>'BredHeifer (Public)'!E20</f>
        <v>550</v>
      </c>
      <c r="AA15" s="31"/>
      <c r="AB15" s="32" t="s">
        <v>45</v>
      </c>
      <c r="AC15" s="32"/>
      <c r="AD15" s="32"/>
      <c r="AE15" s="46">
        <f>'BredHeifer (Public)'!E23</f>
        <v>1.5</v>
      </c>
      <c r="AH15" s="138" t="s">
        <v>42</v>
      </c>
      <c r="AI15" s="138"/>
      <c r="AJ15" s="138"/>
      <c r="AK15" s="48">
        <f>'BredHeifer (Public)'!E20</f>
        <v>550</v>
      </c>
      <c r="AL15" s="31"/>
      <c r="AM15" s="139" t="s">
        <v>45</v>
      </c>
      <c r="AN15" s="139"/>
      <c r="AO15" s="139"/>
      <c r="AP15" s="46">
        <f>'BredHeifer (Public)'!E23</f>
        <v>1.5</v>
      </c>
    </row>
    <row r="16" spans="1:43" x14ac:dyDescent="0.2">
      <c r="A16" s="51" t="s">
        <v>43</v>
      </c>
      <c r="B16" s="51"/>
      <c r="C16" s="51"/>
      <c r="D16" s="48">
        <f>'BredHeifer (Public)'!E21</f>
        <v>500</v>
      </c>
      <c r="E16" s="33"/>
      <c r="F16" s="51" t="s">
        <v>46</v>
      </c>
      <c r="G16" s="51"/>
      <c r="H16" s="51"/>
      <c r="I16" s="46">
        <f>'BredHeifer (Public)'!E24</f>
        <v>1.4</v>
      </c>
      <c r="J16" s="66"/>
      <c r="L16" s="24" t="s">
        <v>43</v>
      </c>
      <c r="M16" s="24"/>
      <c r="N16" s="24"/>
      <c r="O16" s="48">
        <f>'BredHeifer (Public)'!E21</f>
        <v>500</v>
      </c>
      <c r="P16" s="33"/>
      <c r="Q16" s="24" t="s">
        <v>46</v>
      </c>
      <c r="R16" s="24"/>
      <c r="S16" s="24"/>
      <c r="T16" s="46">
        <f>'BredHeifer (Public)'!E24</f>
        <v>1.4</v>
      </c>
      <c r="U16" s="43"/>
      <c r="W16" s="24" t="s">
        <v>43</v>
      </c>
      <c r="X16" s="24"/>
      <c r="Y16" s="24"/>
      <c r="Z16" s="48">
        <f>'BredHeifer (Public)'!E21</f>
        <v>500</v>
      </c>
      <c r="AA16" s="33"/>
      <c r="AB16" s="24" t="s">
        <v>46</v>
      </c>
      <c r="AC16" s="24"/>
      <c r="AD16" s="24"/>
      <c r="AE16" s="46">
        <f>'BredHeifer (Public)'!E24</f>
        <v>1.4</v>
      </c>
      <c r="AH16" s="138" t="s">
        <v>43</v>
      </c>
      <c r="AI16" s="138"/>
      <c r="AJ16" s="138"/>
      <c r="AK16" s="48">
        <f>'BredHeifer (Public)'!E21</f>
        <v>500</v>
      </c>
      <c r="AL16" s="33"/>
      <c r="AM16" s="138" t="s">
        <v>46</v>
      </c>
      <c r="AN16" s="138"/>
      <c r="AO16" s="138"/>
      <c r="AP16" s="46">
        <f>'BredHeifer (Public)'!E24</f>
        <v>1.4</v>
      </c>
    </row>
    <row r="17" spans="1:42" x14ac:dyDescent="0.2">
      <c r="A17" s="51" t="s">
        <v>44</v>
      </c>
      <c r="B17" s="51"/>
      <c r="C17" s="51"/>
      <c r="D17" s="16">
        <f>(D15+D16)/2</f>
        <v>525</v>
      </c>
      <c r="E17" s="34"/>
      <c r="F17" s="51" t="s">
        <v>47</v>
      </c>
      <c r="G17" s="51"/>
      <c r="H17" s="51"/>
      <c r="I17" s="17">
        <f>((D15*I15)+(D16*I16))/(D15+D16)</f>
        <v>1.4523809523809523</v>
      </c>
      <c r="J17" s="67"/>
      <c r="L17" s="24" t="s">
        <v>44</v>
      </c>
      <c r="M17" s="24"/>
      <c r="N17" s="24"/>
      <c r="O17" s="16">
        <f>(O15+O16)/2</f>
        <v>525</v>
      </c>
      <c r="P17" s="34"/>
      <c r="Q17" s="24" t="s">
        <v>47</v>
      </c>
      <c r="R17" s="24"/>
      <c r="S17" s="24"/>
      <c r="T17" s="17">
        <f>((O15*T15)+(O16*T16))/(O15+O16)</f>
        <v>1.4523809523809523</v>
      </c>
      <c r="U17" s="43"/>
      <c r="W17" s="24" t="s">
        <v>44</v>
      </c>
      <c r="X17" s="24"/>
      <c r="Y17" s="24"/>
      <c r="Z17" s="16">
        <f>(Z15+Z16)/2</f>
        <v>525</v>
      </c>
      <c r="AA17" s="34"/>
      <c r="AB17" s="24" t="s">
        <v>47</v>
      </c>
      <c r="AC17" s="24"/>
      <c r="AD17" s="24"/>
      <c r="AE17" s="17">
        <f>((Z15*AE15)+(Z16*AE16))/(Z15+Z16)</f>
        <v>1.4523809523809523</v>
      </c>
      <c r="AH17" s="138" t="s">
        <v>44</v>
      </c>
      <c r="AI17" s="138"/>
      <c r="AJ17" s="138"/>
      <c r="AK17" s="16">
        <f>(AK15+AK16)/2</f>
        <v>525</v>
      </c>
      <c r="AL17" s="137"/>
      <c r="AM17" s="138" t="s">
        <v>47</v>
      </c>
      <c r="AN17" s="138"/>
      <c r="AO17" s="138"/>
      <c r="AP17" s="142">
        <f>'BredHeifer (Public)'!E41</f>
        <v>1.5</v>
      </c>
    </row>
    <row r="18" spans="1:42" x14ac:dyDescent="0.2">
      <c r="A18" s="21"/>
      <c r="B18" s="21"/>
      <c r="C18" s="21"/>
      <c r="D18" s="21"/>
      <c r="E18" s="21"/>
      <c r="F18" s="21"/>
      <c r="G18" s="21"/>
      <c r="H18" s="21"/>
      <c r="I18" s="21"/>
      <c r="J18" s="43"/>
      <c r="L18" s="21"/>
      <c r="M18" s="21"/>
      <c r="N18" s="21"/>
      <c r="O18" s="21"/>
      <c r="P18" s="21"/>
      <c r="Q18" s="21"/>
      <c r="R18" s="21"/>
      <c r="S18" s="21"/>
      <c r="T18" s="21"/>
      <c r="U18" s="43"/>
      <c r="W18" s="21"/>
      <c r="X18" s="21"/>
      <c r="Y18" s="21"/>
      <c r="Z18" s="21"/>
      <c r="AA18" s="21"/>
      <c r="AB18" s="21"/>
      <c r="AC18" s="21"/>
      <c r="AD18" s="21"/>
      <c r="AE18" s="21"/>
      <c r="AH18" s="21"/>
      <c r="AI18" s="21"/>
      <c r="AJ18" s="21"/>
      <c r="AK18" s="21"/>
      <c r="AL18" s="21"/>
      <c r="AM18" s="21"/>
      <c r="AN18" s="21"/>
      <c r="AO18" s="21"/>
      <c r="AP18" s="21"/>
    </row>
    <row r="19" spans="1:42" x14ac:dyDescent="0.2">
      <c r="A19" s="55" t="s">
        <v>1</v>
      </c>
      <c r="B19" s="55"/>
      <c r="C19" s="55"/>
      <c r="D19" s="38">
        <f>D17*I17</f>
        <v>762.5</v>
      </c>
      <c r="E19" s="35"/>
      <c r="F19" s="21"/>
      <c r="G19" s="21"/>
      <c r="H19" s="21"/>
      <c r="I19" s="21"/>
      <c r="J19" s="43"/>
      <c r="L19" s="36" t="s">
        <v>1</v>
      </c>
      <c r="M19" s="36"/>
      <c r="N19" s="36"/>
      <c r="O19" s="38">
        <f>O17*T17</f>
        <v>762.5</v>
      </c>
      <c r="P19" s="35"/>
      <c r="Q19" s="21"/>
      <c r="R19" s="21"/>
      <c r="S19" s="21"/>
      <c r="T19" s="21"/>
      <c r="U19" s="43"/>
      <c r="W19" s="36" t="s">
        <v>1</v>
      </c>
      <c r="X19" s="36"/>
      <c r="Y19" s="36"/>
      <c r="Z19" s="38">
        <f>Z17*AE17</f>
        <v>762.5</v>
      </c>
      <c r="AA19" s="35"/>
      <c r="AB19" s="21"/>
      <c r="AC19" s="21"/>
      <c r="AD19" s="21"/>
      <c r="AE19" s="21"/>
      <c r="AH19" s="81" t="s">
        <v>1</v>
      </c>
      <c r="AI19" s="81"/>
      <c r="AJ19" s="81"/>
      <c r="AK19" s="38">
        <f>AK17*AP17</f>
        <v>787.5</v>
      </c>
      <c r="AL19" s="35"/>
      <c r="AM19" s="21"/>
      <c r="AN19" s="21"/>
      <c r="AO19" s="21"/>
      <c r="AP19" s="21"/>
    </row>
    <row r="20" spans="1:42" x14ac:dyDescent="0.2">
      <c r="A20" s="55" t="s">
        <v>50</v>
      </c>
      <c r="B20" s="55"/>
      <c r="C20" s="55"/>
      <c r="D20" s="15">
        <f>D19*D11</f>
        <v>648.125</v>
      </c>
      <c r="E20" s="21"/>
      <c r="F20" s="21"/>
      <c r="G20" s="21"/>
      <c r="H20" s="21"/>
      <c r="I20" s="21"/>
      <c r="J20" s="43"/>
      <c r="L20" s="36" t="s">
        <v>50</v>
      </c>
      <c r="M20" s="36"/>
      <c r="N20" s="36"/>
      <c r="O20" s="15">
        <f>O19*O11</f>
        <v>648.125</v>
      </c>
      <c r="P20" s="21"/>
      <c r="Q20" s="21"/>
      <c r="R20" s="21"/>
      <c r="S20" s="21"/>
      <c r="T20" s="21"/>
      <c r="U20" s="43"/>
      <c r="W20" s="36" t="s">
        <v>50</v>
      </c>
      <c r="X20" s="36"/>
      <c r="Y20" s="36"/>
      <c r="Z20" s="15">
        <f>Z19*Z11</f>
        <v>648.125</v>
      </c>
      <c r="AA20" s="21"/>
      <c r="AB20" s="21"/>
      <c r="AC20" s="21"/>
      <c r="AD20" s="21"/>
      <c r="AE20" s="21"/>
      <c r="AH20" s="81" t="s">
        <v>50</v>
      </c>
      <c r="AI20" s="81"/>
      <c r="AJ20" s="81"/>
      <c r="AK20" s="140">
        <f>AK19*AK11</f>
        <v>669.375</v>
      </c>
      <c r="AL20" s="21"/>
      <c r="AM20" s="21"/>
      <c r="AN20" s="21"/>
      <c r="AO20" s="21"/>
      <c r="AP20" s="21"/>
    </row>
    <row r="21" spans="1:42" x14ac:dyDescent="0.2">
      <c r="A21" s="55"/>
      <c r="B21" s="55"/>
      <c r="C21" s="55"/>
      <c r="D21" s="30"/>
      <c r="E21" s="21"/>
      <c r="F21" s="21"/>
      <c r="G21" s="21"/>
      <c r="H21" s="21"/>
      <c r="I21" s="21"/>
      <c r="J21" s="43"/>
      <c r="L21" s="36"/>
      <c r="M21" s="36"/>
      <c r="N21" s="36"/>
      <c r="O21" s="30"/>
      <c r="P21" s="21"/>
      <c r="Q21" s="21"/>
      <c r="R21" s="21"/>
      <c r="S21" s="21"/>
      <c r="T21" s="21"/>
      <c r="U21" s="43"/>
      <c r="W21" s="36"/>
      <c r="X21" s="36"/>
      <c r="Y21" s="36"/>
      <c r="Z21" s="30"/>
      <c r="AA21" s="21"/>
      <c r="AB21" s="21"/>
      <c r="AC21" s="21"/>
      <c r="AD21" s="21"/>
      <c r="AE21" s="21"/>
      <c r="AH21" s="81"/>
      <c r="AI21" s="81"/>
      <c r="AJ21" s="81"/>
      <c r="AK21" s="30"/>
      <c r="AL21" s="21"/>
      <c r="AM21" s="21"/>
      <c r="AN21" s="21"/>
      <c r="AO21" s="21"/>
      <c r="AP21" s="21"/>
    </row>
    <row r="22" spans="1:42" x14ac:dyDescent="0.2">
      <c r="A22" s="22" t="s">
        <v>36</v>
      </c>
      <c r="B22" s="22"/>
      <c r="C22" s="22"/>
      <c r="D22" s="29"/>
      <c r="E22" s="21"/>
      <c r="F22" s="21"/>
      <c r="G22" s="21"/>
      <c r="H22" s="21"/>
      <c r="I22" s="21"/>
      <c r="J22" s="43"/>
      <c r="L22" s="22" t="s">
        <v>36</v>
      </c>
      <c r="M22" s="22"/>
      <c r="N22" s="22"/>
      <c r="O22" s="29"/>
      <c r="P22" s="21"/>
      <c r="Q22" s="21"/>
      <c r="R22" s="21"/>
      <c r="S22" s="21"/>
      <c r="T22" s="21"/>
      <c r="U22" s="43"/>
      <c r="W22" s="22" t="s">
        <v>36</v>
      </c>
      <c r="X22" s="22"/>
      <c r="Y22" s="22"/>
      <c r="Z22" s="29"/>
      <c r="AA22" s="21"/>
      <c r="AB22" s="21"/>
      <c r="AC22" s="21"/>
      <c r="AD22" s="21"/>
      <c r="AE22" s="21"/>
      <c r="AH22" s="22" t="s">
        <v>36</v>
      </c>
      <c r="AI22" s="22"/>
      <c r="AJ22" s="22"/>
      <c r="AK22" s="29"/>
      <c r="AL22" s="21"/>
      <c r="AM22" s="21"/>
      <c r="AN22" s="21"/>
      <c r="AO22" s="21"/>
      <c r="AP22" s="21"/>
    </row>
    <row r="23" spans="1:42" x14ac:dyDescent="0.2">
      <c r="A23" s="51" t="s">
        <v>20</v>
      </c>
      <c r="B23" s="51"/>
      <c r="C23" s="51"/>
      <c r="D23" s="47">
        <f>'BredHeifer (Public)'!E12</f>
        <v>0.03</v>
      </c>
      <c r="E23" s="21"/>
      <c r="F23" s="55" t="s">
        <v>7</v>
      </c>
      <c r="G23" s="55"/>
      <c r="H23" s="55"/>
      <c r="I23" s="41">
        <f>'BredHeifer (Public)'!E32</f>
        <v>400</v>
      </c>
      <c r="J23" s="64"/>
      <c r="L23" s="24" t="s">
        <v>20</v>
      </c>
      <c r="M23" s="24"/>
      <c r="N23" s="24"/>
      <c r="O23" s="47">
        <f>'BredHeifer (Public)'!E12</f>
        <v>0.03</v>
      </c>
      <c r="P23" s="21"/>
      <c r="Q23" s="36" t="s">
        <v>7</v>
      </c>
      <c r="R23" s="36"/>
      <c r="S23" s="36"/>
      <c r="T23" s="41">
        <f>'BredHeifer (Public)'!E32</f>
        <v>400</v>
      </c>
      <c r="U23" s="43"/>
      <c r="W23" s="24" t="s">
        <v>20</v>
      </c>
      <c r="X23" s="24"/>
      <c r="Y23" s="24"/>
      <c r="Z23" s="47">
        <f>'BredHeifer (Public)'!E12</f>
        <v>0.03</v>
      </c>
      <c r="AA23" s="21"/>
      <c r="AB23" s="36" t="s">
        <v>7</v>
      </c>
      <c r="AC23" s="36"/>
      <c r="AD23" s="36"/>
      <c r="AE23" s="41">
        <f>'BredHeifer (Public)'!E32</f>
        <v>400</v>
      </c>
      <c r="AH23" s="138" t="s">
        <v>20</v>
      </c>
      <c r="AI23" s="138"/>
      <c r="AJ23" s="138"/>
      <c r="AK23" s="47">
        <f>'BredHeifer (Public)'!E12</f>
        <v>0.03</v>
      </c>
      <c r="AL23" s="21"/>
      <c r="AM23" s="81" t="s">
        <v>7</v>
      </c>
      <c r="AN23" s="81"/>
      <c r="AO23" s="81"/>
      <c r="AP23" s="50">
        <f>'BredHeifer (Public)'!B44</f>
        <v>400</v>
      </c>
    </row>
    <row r="24" spans="1:42" x14ac:dyDescent="0.2">
      <c r="A24" s="51" t="s">
        <v>41</v>
      </c>
      <c r="B24" s="51"/>
      <c r="C24" s="51"/>
      <c r="D24" s="18">
        <f>((D9+I11)/2)*D23</f>
        <v>33.9</v>
      </c>
      <c r="E24" s="21"/>
      <c r="F24" s="52"/>
      <c r="G24" s="21"/>
      <c r="H24" s="21"/>
      <c r="I24" s="21"/>
      <c r="J24" s="43"/>
      <c r="L24" s="24" t="s">
        <v>41</v>
      </c>
      <c r="M24" s="24"/>
      <c r="N24" s="24"/>
      <c r="O24" s="18">
        <f>((O9+T11)/2)*O23</f>
        <v>37.65</v>
      </c>
      <c r="P24" s="21"/>
      <c r="Q24" s="32"/>
      <c r="R24" s="21"/>
      <c r="S24" s="21"/>
      <c r="T24" s="21"/>
      <c r="U24" s="43"/>
      <c r="W24" s="24" t="s">
        <v>41</v>
      </c>
      <c r="X24" s="24"/>
      <c r="Y24" s="24"/>
      <c r="Z24" s="18">
        <f>((Z9+AE11)/2)*Z23</f>
        <v>30.15</v>
      </c>
      <c r="AA24" s="21"/>
      <c r="AB24" s="32"/>
      <c r="AC24" s="21"/>
      <c r="AD24" s="21"/>
      <c r="AE24" s="21"/>
      <c r="AH24" s="138" t="s">
        <v>41</v>
      </c>
      <c r="AI24" s="138"/>
      <c r="AJ24" s="138"/>
      <c r="AK24" s="18">
        <f>((AK9+AP11)/2)*AK23</f>
        <v>33.9</v>
      </c>
      <c r="AL24" s="21"/>
      <c r="AM24" s="139"/>
      <c r="AN24" s="21"/>
      <c r="AO24" s="21"/>
      <c r="AP24" s="21"/>
    </row>
    <row r="25" spans="1:42" x14ac:dyDescent="0.2">
      <c r="A25" s="51" t="s">
        <v>51</v>
      </c>
      <c r="B25" s="51"/>
      <c r="C25" s="51"/>
      <c r="D25" s="19">
        <f>(D9-I11)/D10</f>
        <v>92.5</v>
      </c>
      <c r="E25" s="37"/>
      <c r="F25" s="51"/>
      <c r="G25" s="21"/>
      <c r="H25" s="21"/>
      <c r="I25" s="21"/>
      <c r="J25" s="43"/>
      <c r="L25" s="24" t="s">
        <v>51</v>
      </c>
      <c r="M25" s="24"/>
      <c r="N25" s="24"/>
      <c r="O25" s="19">
        <f>(O9-T11)/O10</f>
        <v>123.75</v>
      </c>
      <c r="P25" s="37"/>
      <c r="Q25" s="24"/>
      <c r="R25" s="21"/>
      <c r="S25" s="21"/>
      <c r="T25" s="21"/>
      <c r="U25" s="43"/>
      <c r="W25" s="24" t="s">
        <v>51</v>
      </c>
      <c r="X25" s="24"/>
      <c r="Y25" s="24"/>
      <c r="Z25" s="19">
        <f>(Z9-AE11)/Z10</f>
        <v>61.25</v>
      </c>
      <c r="AA25" s="37"/>
      <c r="AB25" s="24"/>
      <c r="AC25" s="21"/>
      <c r="AD25" s="21"/>
      <c r="AE25" s="21"/>
      <c r="AH25" s="138" t="s">
        <v>51</v>
      </c>
      <c r="AI25" s="138"/>
      <c r="AJ25" s="138"/>
      <c r="AK25" s="19">
        <f>(AK9-AP11)/AK10</f>
        <v>92.5</v>
      </c>
      <c r="AL25" s="37"/>
      <c r="AM25" s="138"/>
      <c r="AN25" s="21"/>
      <c r="AO25" s="21"/>
      <c r="AP25" s="21"/>
    </row>
    <row r="26" spans="1:42" x14ac:dyDescent="0.2">
      <c r="A26" s="55" t="s">
        <v>40</v>
      </c>
      <c r="B26" s="55"/>
      <c r="C26" s="55"/>
      <c r="D26" s="15">
        <f>SUM(D24:D25)</f>
        <v>126.4</v>
      </c>
      <c r="E26" s="21"/>
      <c r="F26" s="51"/>
      <c r="G26" s="21"/>
      <c r="H26" s="21"/>
      <c r="I26" s="21"/>
      <c r="J26" s="43"/>
      <c r="L26" s="36" t="s">
        <v>40</v>
      </c>
      <c r="M26" s="36"/>
      <c r="N26" s="36"/>
      <c r="O26" s="15">
        <f>SUM(O24:O25)</f>
        <v>161.4</v>
      </c>
      <c r="P26" s="21"/>
      <c r="Q26" s="24"/>
      <c r="R26" s="21"/>
      <c r="S26" s="21"/>
      <c r="T26" s="21"/>
      <c r="U26" s="43"/>
      <c r="W26" s="36" t="s">
        <v>40</v>
      </c>
      <c r="X26" s="36"/>
      <c r="Y26" s="36"/>
      <c r="Z26" s="15">
        <f>SUM(Z24:Z25)</f>
        <v>91.4</v>
      </c>
      <c r="AA26" s="21"/>
      <c r="AB26" s="24"/>
      <c r="AC26" s="21"/>
      <c r="AD26" s="21"/>
      <c r="AE26" s="21"/>
      <c r="AH26" s="81" t="s">
        <v>40</v>
      </c>
      <c r="AI26" s="81"/>
      <c r="AJ26" s="81"/>
      <c r="AK26" s="15">
        <f>SUM(AK24:AK25)</f>
        <v>126.4</v>
      </c>
      <c r="AL26" s="21"/>
      <c r="AM26" s="138"/>
      <c r="AN26" s="21"/>
      <c r="AO26" s="21"/>
      <c r="AP26" s="21"/>
    </row>
    <row r="27" spans="1:42" x14ac:dyDescent="0.2">
      <c r="A27" s="55"/>
      <c r="B27" s="55"/>
      <c r="C27" s="55"/>
      <c r="D27" s="12"/>
      <c r="E27" s="21"/>
      <c r="F27" s="51"/>
      <c r="G27" s="21"/>
      <c r="H27" s="21"/>
      <c r="I27" s="21"/>
      <c r="J27" s="43"/>
      <c r="L27" s="36"/>
      <c r="M27" s="36"/>
      <c r="N27" s="36"/>
      <c r="O27" s="12"/>
      <c r="P27" s="21"/>
      <c r="Q27" s="24"/>
      <c r="R27" s="21"/>
      <c r="S27" s="21"/>
      <c r="T27" s="21"/>
      <c r="U27" s="43"/>
      <c r="W27" s="36"/>
      <c r="X27" s="36"/>
      <c r="Y27" s="36"/>
      <c r="Z27" s="12"/>
      <c r="AA27" s="21"/>
      <c r="AB27" s="24"/>
      <c r="AC27" s="21"/>
      <c r="AD27" s="21"/>
      <c r="AE27" s="21"/>
      <c r="AH27" s="81"/>
      <c r="AI27" s="81"/>
      <c r="AJ27" s="81"/>
      <c r="AK27" s="12"/>
      <c r="AL27" s="21"/>
      <c r="AM27" s="138"/>
      <c r="AN27" s="21"/>
      <c r="AO27" s="21"/>
      <c r="AP27" s="21"/>
    </row>
    <row r="28" spans="1:42" x14ac:dyDescent="0.2">
      <c r="A28" s="55" t="s">
        <v>37</v>
      </c>
      <c r="B28" s="55"/>
      <c r="C28" s="55"/>
      <c r="D28" s="15">
        <f>D26+I23</f>
        <v>526.4</v>
      </c>
      <c r="E28" s="21"/>
      <c r="F28" s="51"/>
      <c r="G28" s="21"/>
      <c r="H28" s="21"/>
      <c r="I28" s="21"/>
      <c r="J28" s="43"/>
      <c r="L28" s="36" t="s">
        <v>37</v>
      </c>
      <c r="M28" s="36"/>
      <c r="N28" s="36"/>
      <c r="O28" s="15">
        <f>O26+T23</f>
        <v>561.4</v>
      </c>
      <c r="P28" s="21"/>
      <c r="Q28" s="24"/>
      <c r="R28" s="21"/>
      <c r="S28" s="21"/>
      <c r="T28" s="21"/>
      <c r="U28" s="43"/>
      <c r="W28" s="36" t="s">
        <v>37</v>
      </c>
      <c r="X28" s="36"/>
      <c r="Y28" s="36"/>
      <c r="Z28" s="15">
        <f>Z26+AE23</f>
        <v>491.4</v>
      </c>
      <c r="AA28" s="21"/>
      <c r="AB28" s="24"/>
      <c r="AC28" s="21"/>
      <c r="AD28" s="21"/>
      <c r="AE28" s="21"/>
      <c r="AH28" s="81" t="s">
        <v>37</v>
      </c>
      <c r="AI28" s="81"/>
      <c r="AJ28" s="81"/>
      <c r="AK28" s="15">
        <f>AK26+AP23</f>
        <v>526.4</v>
      </c>
      <c r="AL28" s="21"/>
      <c r="AM28" s="138"/>
      <c r="AN28" s="21"/>
      <c r="AO28" s="21"/>
      <c r="AP28" s="21"/>
    </row>
    <row r="29" spans="1:42" x14ac:dyDescent="0.2">
      <c r="A29" s="21"/>
      <c r="B29" s="21"/>
      <c r="C29" s="21"/>
      <c r="D29" s="51"/>
      <c r="E29" s="21"/>
      <c r="F29" s="21"/>
      <c r="G29" s="21"/>
      <c r="H29" s="21"/>
      <c r="I29" s="21"/>
      <c r="J29" s="43"/>
      <c r="L29" s="21"/>
      <c r="M29" s="21"/>
      <c r="N29" s="21"/>
      <c r="O29" s="24"/>
      <c r="P29" s="21"/>
      <c r="Q29" s="21"/>
      <c r="R29" s="21"/>
      <c r="S29" s="21"/>
      <c r="T29" s="21"/>
      <c r="U29" s="43"/>
      <c r="W29" s="21"/>
      <c r="X29" s="21"/>
      <c r="Y29" s="21"/>
      <c r="Z29" s="24"/>
      <c r="AA29" s="21"/>
      <c r="AB29" s="21"/>
      <c r="AC29" s="21"/>
      <c r="AD29" s="21"/>
      <c r="AE29" s="21"/>
      <c r="AH29" s="21"/>
      <c r="AI29" s="21"/>
      <c r="AJ29" s="21"/>
      <c r="AK29" s="138"/>
      <c r="AL29" s="21"/>
      <c r="AM29" s="21"/>
      <c r="AN29" s="21"/>
      <c r="AO29" s="21"/>
      <c r="AP29" s="21"/>
    </row>
    <row r="30" spans="1:42" x14ac:dyDescent="0.2">
      <c r="A30" s="22" t="s">
        <v>49</v>
      </c>
      <c r="B30" s="23"/>
      <c r="C30" s="23"/>
      <c r="D30" s="23"/>
      <c r="E30" s="25"/>
      <c r="F30" s="21"/>
      <c r="G30" s="21"/>
      <c r="H30" s="21"/>
      <c r="I30" s="21"/>
      <c r="J30" s="43"/>
      <c r="L30" s="22" t="s">
        <v>49</v>
      </c>
      <c r="M30" s="23"/>
      <c r="N30" s="23"/>
      <c r="O30" s="23"/>
      <c r="P30" s="25"/>
      <c r="Q30" s="21"/>
      <c r="R30" s="21"/>
      <c r="S30" s="21"/>
      <c r="T30" s="21"/>
      <c r="U30" s="43"/>
      <c r="W30" s="22" t="s">
        <v>49</v>
      </c>
      <c r="X30" s="23"/>
      <c r="Y30" s="23"/>
      <c r="Z30" s="23"/>
      <c r="AA30" s="25"/>
      <c r="AB30" s="21"/>
      <c r="AC30" s="21"/>
      <c r="AD30" s="21"/>
      <c r="AE30" s="21"/>
      <c r="AH30" s="22" t="s">
        <v>49</v>
      </c>
      <c r="AI30" s="23"/>
      <c r="AJ30" s="23"/>
      <c r="AK30" s="23"/>
      <c r="AL30" s="25"/>
      <c r="AM30" s="21"/>
      <c r="AN30" s="21"/>
      <c r="AO30" s="21"/>
      <c r="AP30" s="21"/>
    </row>
    <row r="31" spans="1:42" x14ac:dyDescent="0.2">
      <c r="A31" s="55" t="s">
        <v>38</v>
      </c>
      <c r="B31" s="55"/>
      <c r="C31" s="55"/>
      <c r="D31" s="20">
        <f>D20-D28</f>
        <v>121.72500000000002</v>
      </c>
      <c r="E31" s="21"/>
      <c r="F31" s="21"/>
      <c r="G31" s="21"/>
      <c r="H31" s="21"/>
      <c r="I31" s="21"/>
      <c r="J31" s="43"/>
      <c r="L31" s="36" t="s">
        <v>38</v>
      </c>
      <c r="M31" s="36"/>
      <c r="N31" s="36"/>
      <c r="O31" s="20">
        <f>O20-O28</f>
        <v>86.725000000000023</v>
      </c>
      <c r="P31" s="21"/>
      <c r="Q31" s="21"/>
      <c r="R31" s="21"/>
      <c r="S31" s="21"/>
      <c r="T31" s="21"/>
      <c r="U31" s="43"/>
      <c r="W31" s="36" t="s">
        <v>38</v>
      </c>
      <c r="X31" s="36"/>
      <c r="Y31" s="36"/>
      <c r="Z31" s="20">
        <f>Z20-Z28</f>
        <v>156.72500000000002</v>
      </c>
      <c r="AA31" s="21"/>
      <c r="AB31" s="21"/>
      <c r="AC31" s="21"/>
      <c r="AD31" s="21"/>
      <c r="AE31" s="21"/>
      <c r="AH31" s="81" t="s">
        <v>38</v>
      </c>
      <c r="AI31" s="81"/>
      <c r="AJ31" s="81"/>
      <c r="AK31" s="20">
        <f>AK20-AK28</f>
        <v>142.97500000000002</v>
      </c>
      <c r="AL31" s="21"/>
      <c r="AM31" s="21"/>
      <c r="AN31" s="21"/>
      <c r="AO31" s="21"/>
      <c r="AP31" s="21"/>
    </row>
    <row r="32" spans="1:42" x14ac:dyDescent="0.2">
      <c r="A32" s="55" t="s">
        <v>39</v>
      </c>
      <c r="B32" s="55"/>
      <c r="C32" s="55"/>
      <c r="D32" s="15">
        <f>D31*D10</f>
        <v>973.80000000000018</v>
      </c>
      <c r="E32" s="21"/>
      <c r="F32" s="21"/>
      <c r="G32" s="21"/>
      <c r="H32" s="21"/>
      <c r="I32" s="21"/>
      <c r="J32" s="43"/>
      <c r="L32" s="36" t="s">
        <v>39</v>
      </c>
      <c r="M32" s="36"/>
      <c r="N32" s="36"/>
      <c r="O32" s="15">
        <f>O31*O10</f>
        <v>693.80000000000018</v>
      </c>
      <c r="P32" s="21"/>
      <c r="Q32" s="21"/>
      <c r="R32" s="21"/>
      <c r="S32" s="21"/>
      <c r="T32" s="21"/>
      <c r="U32" s="43"/>
      <c r="W32" s="36" t="s">
        <v>39</v>
      </c>
      <c r="X32" s="36"/>
      <c r="Y32" s="36"/>
      <c r="Z32" s="15">
        <f>Z31*Z10</f>
        <v>1253.8000000000002</v>
      </c>
      <c r="AA32" s="21"/>
      <c r="AB32" s="21"/>
      <c r="AC32" s="21"/>
      <c r="AD32" s="21"/>
      <c r="AE32" s="21"/>
      <c r="AH32" s="81" t="s">
        <v>39</v>
      </c>
      <c r="AI32" s="81"/>
      <c r="AJ32" s="81"/>
      <c r="AK32" s="15">
        <f>AK31*AK10</f>
        <v>1143.8000000000002</v>
      </c>
      <c r="AL32" s="21"/>
      <c r="AM32" s="21"/>
      <c r="AN32" s="21"/>
      <c r="AO32" s="21"/>
      <c r="AP32" s="21"/>
    </row>
    <row r="33" spans="1:40" x14ac:dyDescent="0.2">
      <c r="J33" s="42"/>
      <c r="U33" s="42"/>
    </row>
    <row r="34" spans="1:40" x14ac:dyDescent="0.2">
      <c r="J34" s="42"/>
      <c r="U34" s="42"/>
    </row>
    <row r="35" spans="1:40" x14ac:dyDescent="0.2">
      <c r="J35" s="42"/>
      <c r="U35" s="42"/>
    </row>
    <row r="36" spans="1:40" x14ac:dyDescent="0.2">
      <c r="J36" s="42"/>
      <c r="U36" s="42"/>
    </row>
    <row r="37" spans="1:40" x14ac:dyDescent="0.2">
      <c r="J37" s="42"/>
      <c r="U37" s="42"/>
    </row>
    <row r="38" spans="1:40" x14ac:dyDescent="0.2">
      <c r="J38" s="42"/>
      <c r="V38" s="42"/>
      <c r="AG38" s="42"/>
    </row>
    <row r="39" spans="1:40" ht="13.5" thickBot="1" x14ac:dyDescent="0.25">
      <c r="A39" s="1"/>
      <c r="J39" s="42"/>
      <c r="L39" s="1"/>
      <c r="X39" s="53"/>
      <c r="Y39" s="57"/>
      <c r="Z39" s="56"/>
      <c r="AA39" s="56"/>
      <c r="AB39" s="56"/>
      <c r="AC39" s="56"/>
    </row>
    <row r="40" spans="1:40" ht="16.5" customHeight="1" thickTop="1" thickBot="1" x14ac:dyDescent="0.25">
      <c r="B40" s="168" t="str">
        <f>"$"&amp;'BredHeifer (Public)'!E57&amp; " Bred Heifer: Gross Profit per Cow per Year"</f>
        <v>$1500 Bred Heifer: Gross Profit per Cow per Year</v>
      </c>
      <c r="C40" s="169"/>
      <c r="D40" s="169"/>
      <c r="E40" s="169"/>
      <c r="F40" s="169"/>
      <c r="G40" s="170"/>
      <c r="M40" s="168" t="str">
        <f>"$"&amp;'BredHeifer (Public)'!$E$59 &amp; " Bred Heifer: Gross Profit per Cow per Year"</f>
        <v>$1750 Bred Heifer: Gross Profit per Cow per Year</v>
      </c>
      <c r="N40" s="169"/>
      <c r="O40" s="169"/>
      <c r="P40" s="169"/>
      <c r="Q40" s="169"/>
      <c r="R40" s="170"/>
      <c r="X40" s="168" t="str">
        <f>"$"&amp;'BredHeifer (Public)'!$E$60 &amp; " Bred Heifer: Gross Profit per Cow per Year"</f>
        <v>$1250 Bred Heifer: Gross Profit per Cow per Year</v>
      </c>
      <c r="Y40" s="169"/>
      <c r="Z40" s="169"/>
      <c r="AA40" s="169"/>
      <c r="AB40" s="169"/>
      <c r="AC40" s="170"/>
      <c r="AI40" s="168" t="str">
        <f>"$"&amp;'BredHeifer (Public)'!$E$60 &amp; " Bred Heifer: Gross Profit per Cow per Year"</f>
        <v>$1250 Bred Heifer: Gross Profit per Cow per Year</v>
      </c>
      <c r="AJ40" s="169"/>
      <c r="AK40" s="169"/>
      <c r="AL40" s="169"/>
      <c r="AM40" s="169"/>
      <c r="AN40" s="170"/>
    </row>
    <row r="41" spans="1:40" ht="13.5" thickTop="1" x14ac:dyDescent="0.2">
      <c r="B41" s="5"/>
      <c r="C41" s="171" t="str">
        <f>"Avg. Steer/Heifer Price, "&amp;'BredHeifer (Public)'!$E$22&amp;" lbs"</f>
        <v>Avg. Steer/Heifer Price, 525 lbs</v>
      </c>
      <c r="D41" s="172"/>
      <c r="E41" s="172"/>
      <c r="F41" s="172"/>
      <c r="G41" s="173"/>
      <c r="M41" s="5"/>
      <c r="N41" s="171" t="str">
        <f>"Avg. Steer/Heifer Price, "&amp;'BredHeifer (Public)'!$E$22&amp;" lbs"</f>
        <v>Avg. Steer/Heifer Price, 525 lbs</v>
      </c>
      <c r="O41" s="172"/>
      <c r="P41" s="172"/>
      <c r="Q41" s="172"/>
      <c r="R41" s="173"/>
      <c r="X41" s="5"/>
      <c r="Y41" s="171" t="str">
        <f>"Avg. Steer/Heifer Price, "&amp;'BredHeifer (Public)'!$E$22&amp;" lbs"</f>
        <v>Avg. Steer/Heifer Price, 525 lbs</v>
      </c>
      <c r="Z41" s="172"/>
      <c r="AA41" s="172"/>
      <c r="AB41" s="172"/>
      <c r="AC41" s="173"/>
      <c r="AI41" s="5"/>
      <c r="AJ41" s="171" t="str">
        <f>"Avg. Steer/Heifer Price, "&amp;'BredHeifer (Public)'!$E$22&amp;" lbs"</f>
        <v>Avg. Steer/Heifer Price, 525 lbs</v>
      </c>
      <c r="AK41" s="172"/>
      <c r="AL41" s="172"/>
      <c r="AM41" s="172"/>
      <c r="AN41" s="173"/>
    </row>
    <row r="42" spans="1:40" ht="39" thickBot="1" x14ac:dyDescent="0.25">
      <c r="B42" s="78" t="s">
        <v>68</v>
      </c>
      <c r="C42" s="4">
        <f>D42-'BredHeifer (Public)'!$E$66</f>
        <v>1.1000000000000001</v>
      </c>
      <c r="D42" s="2">
        <f>E42-'BredHeifer (Public)'!$E$66</f>
        <v>1.3</v>
      </c>
      <c r="E42" s="40">
        <f>'BredHeifer (Public)'!$E$65</f>
        <v>1.5</v>
      </c>
      <c r="F42" s="2">
        <f>E42+'BredHeifer (Public)'!$E$66</f>
        <v>1.7</v>
      </c>
      <c r="G42" s="3">
        <f>F42+'BredHeifer (Public)'!$E$66</f>
        <v>1.9</v>
      </c>
      <c r="M42" s="78" t="s">
        <v>68</v>
      </c>
      <c r="N42" s="4">
        <f>O42-'BredHeifer (Public)'!$E$66</f>
        <v>1.1000000000000001</v>
      </c>
      <c r="O42" s="2">
        <f>P42-'BredHeifer (Public)'!$E$66</f>
        <v>1.3</v>
      </c>
      <c r="P42" s="40">
        <f>'BredHeifer (Public)'!$E$65</f>
        <v>1.5</v>
      </c>
      <c r="Q42" s="2">
        <f>P42+'BredHeifer (Public)'!$E$66</f>
        <v>1.7</v>
      </c>
      <c r="R42" s="3">
        <f>Q42+'BredHeifer (Public)'!$E$66</f>
        <v>1.9</v>
      </c>
      <c r="X42" s="78" t="s">
        <v>68</v>
      </c>
      <c r="Y42" s="4">
        <f>Z42-'BredHeifer (Public)'!$E$66</f>
        <v>1.1000000000000001</v>
      </c>
      <c r="Z42" s="2">
        <f>AA42-'BredHeifer (Public)'!$E$66</f>
        <v>1.3</v>
      </c>
      <c r="AA42" s="40">
        <f>'BredHeifer (Public)'!$E$65</f>
        <v>1.5</v>
      </c>
      <c r="AB42" s="2">
        <f>AA42+'BredHeifer (Public)'!$E$66</f>
        <v>1.7</v>
      </c>
      <c r="AC42" s="3">
        <f>AB42+'BredHeifer (Public)'!$E$66</f>
        <v>1.9</v>
      </c>
      <c r="AI42" s="78" t="s">
        <v>68</v>
      </c>
      <c r="AJ42" s="4">
        <f>AK42-'BredHeifer (Public)'!$E$66</f>
        <v>1.1000000000000001</v>
      </c>
      <c r="AK42" s="2">
        <f>AL42-'BredHeifer (Public)'!$E$66</f>
        <v>1.3</v>
      </c>
      <c r="AL42" s="40">
        <f>'BredHeifer (Public)'!$E$65</f>
        <v>1.5</v>
      </c>
      <c r="AM42" s="2">
        <f>AL42+'BredHeifer (Public)'!$E$66</f>
        <v>1.7</v>
      </c>
      <c r="AN42" s="3">
        <f>AM42+'BredHeifer (Public)'!$E$66</f>
        <v>1.9</v>
      </c>
    </row>
    <row r="43" spans="1:40" ht="13.5" thickTop="1" x14ac:dyDescent="0.2">
      <c r="B43" s="6">
        <f>B44-'BredHeifer (Public)'!$E$72</f>
        <v>300</v>
      </c>
      <c r="C43" s="120">
        <f>C44+'BredHeifer (Public)'!$E$72</f>
        <v>43.225000000000023</v>
      </c>
      <c r="D43" s="121">
        <f>D44+'BredHeifer (Public)'!$E$72</f>
        <v>132.47500000000002</v>
      </c>
      <c r="E43" s="121">
        <f>E44+'BredHeifer (Public)'!$E$72</f>
        <v>221.72500000000002</v>
      </c>
      <c r="F43" s="121">
        <f>F44+'BredHeifer (Public)'!$E$72</f>
        <v>310.97500000000002</v>
      </c>
      <c r="G43" s="122">
        <f>G44+'BredHeifer (Public)'!$E$72</f>
        <v>400.22500000000002</v>
      </c>
      <c r="M43" s="6">
        <f>M44-'BredHeifer (Public)'!$E$72</f>
        <v>300</v>
      </c>
      <c r="N43" s="120">
        <f>N44+'BredHeifer (Public)'!$E$72</f>
        <v>8.2250000000000227</v>
      </c>
      <c r="O43" s="121">
        <f>O44+'BredHeifer (Public)'!$E$72</f>
        <v>97.475000000000023</v>
      </c>
      <c r="P43" s="121">
        <f>P44+'BredHeifer (Public)'!$E$72</f>
        <v>186.72500000000002</v>
      </c>
      <c r="Q43" s="121">
        <f>Q44+'BredHeifer (Public)'!$E$72</f>
        <v>275.97500000000002</v>
      </c>
      <c r="R43" s="122">
        <f>R44+'BredHeifer (Public)'!$E$72</f>
        <v>365.22500000000002</v>
      </c>
      <c r="X43" s="6">
        <f>X44-'BredHeifer (Public)'!$E$72</f>
        <v>300</v>
      </c>
      <c r="Y43" s="120">
        <f>Y44+'BredHeifer (Public)'!$E$72</f>
        <v>78.225000000000023</v>
      </c>
      <c r="Z43" s="121">
        <f>Z44+'BredHeifer (Public)'!$E$72</f>
        <v>167.47500000000002</v>
      </c>
      <c r="AA43" s="121">
        <f>AA44+'BredHeifer (Public)'!$E$72</f>
        <v>256.72500000000002</v>
      </c>
      <c r="AB43" s="121">
        <f>AB44+'BredHeifer (Public)'!$E$72</f>
        <v>345.97500000000002</v>
      </c>
      <c r="AC43" s="122">
        <f>AC44+'BredHeifer (Public)'!$E$72</f>
        <v>435.22500000000002</v>
      </c>
      <c r="AI43" s="6">
        <f>AI44-'BredHeifer (Public)'!$E$72</f>
        <v>300</v>
      </c>
      <c r="AJ43" s="120">
        <f>AJ44+'BredHeifer (Public)'!$E$72</f>
        <v>64.475000000000023</v>
      </c>
      <c r="AK43" s="121">
        <f>AK44+'BredHeifer (Public)'!$E$72</f>
        <v>153.72500000000002</v>
      </c>
      <c r="AL43" s="121">
        <f>AL44+'BredHeifer (Public)'!$E$72</f>
        <v>242.97500000000002</v>
      </c>
      <c r="AM43" s="121">
        <f>AM44+'BredHeifer (Public)'!$E$72</f>
        <v>332.22500000000002</v>
      </c>
      <c r="AN43" s="122">
        <f>AN44+'BredHeifer (Public)'!$E$72</f>
        <v>421.47500000000002</v>
      </c>
    </row>
    <row r="44" spans="1:40" x14ac:dyDescent="0.2">
      <c r="B44" s="7">
        <f>B45-'BredHeifer (Public)'!$E$72</f>
        <v>350</v>
      </c>
      <c r="C44" s="123">
        <f>C45+'BredHeifer (Public)'!$E$72</f>
        <v>-6.7749999999999773</v>
      </c>
      <c r="D44" s="8">
        <f>D45+'BredHeifer (Public)'!$E$72</f>
        <v>82.475000000000023</v>
      </c>
      <c r="E44" s="8">
        <f>E45+'BredHeifer (Public)'!$E$72</f>
        <v>171.72500000000002</v>
      </c>
      <c r="F44" s="8">
        <f>F45+'BredHeifer (Public)'!$E$72</f>
        <v>260.97500000000002</v>
      </c>
      <c r="G44" s="124">
        <f>G45+'BredHeifer (Public)'!$E$72</f>
        <v>350.22500000000002</v>
      </c>
      <c r="M44" s="7">
        <f>M45-'BredHeifer (Public)'!$E$72</f>
        <v>350</v>
      </c>
      <c r="N44" s="123">
        <f>N45+'BredHeifer (Public)'!$E$72</f>
        <v>-41.774999999999977</v>
      </c>
      <c r="O44" s="8">
        <f>O45+'BredHeifer (Public)'!$E$72</f>
        <v>47.475000000000023</v>
      </c>
      <c r="P44" s="8">
        <f>P45+'BredHeifer (Public)'!$E$72</f>
        <v>136.72500000000002</v>
      </c>
      <c r="Q44" s="8">
        <f>Q45+'BredHeifer (Public)'!$E$72</f>
        <v>225.97500000000002</v>
      </c>
      <c r="R44" s="124">
        <f>R45+'BredHeifer (Public)'!$E$72</f>
        <v>315.22500000000002</v>
      </c>
      <c r="X44" s="7">
        <f>X45-'BredHeifer (Public)'!$E$72</f>
        <v>350</v>
      </c>
      <c r="Y44" s="123">
        <f>Y45+'BredHeifer (Public)'!$E$72</f>
        <v>28.225000000000023</v>
      </c>
      <c r="Z44" s="8">
        <f>Z45+'BredHeifer (Public)'!$E$72</f>
        <v>117.47500000000002</v>
      </c>
      <c r="AA44" s="8">
        <f>AA45+'BredHeifer (Public)'!$E$72</f>
        <v>206.72500000000002</v>
      </c>
      <c r="AB44" s="8">
        <f>AB45+'BredHeifer (Public)'!$E$72</f>
        <v>295.97500000000002</v>
      </c>
      <c r="AC44" s="124">
        <f>AC45+'BredHeifer (Public)'!$E$72</f>
        <v>385.22500000000002</v>
      </c>
      <c r="AI44" s="7">
        <f>AI45-'BredHeifer (Public)'!$E$72</f>
        <v>350</v>
      </c>
      <c r="AJ44" s="123">
        <f>AJ45+'BredHeifer (Public)'!$E$72</f>
        <v>14.475000000000023</v>
      </c>
      <c r="AK44" s="8">
        <f>AK45+'BredHeifer (Public)'!$E$72</f>
        <v>103.72500000000002</v>
      </c>
      <c r="AL44" s="8">
        <f>AL45+'BredHeifer (Public)'!$E$72</f>
        <v>192.97500000000002</v>
      </c>
      <c r="AM44" s="8">
        <f>AM45+'BredHeifer (Public)'!$E$72</f>
        <v>282.22500000000002</v>
      </c>
      <c r="AN44" s="124">
        <f>AN45+'BredHeifer (Public)'!$E$72</f>
        <v>371.47500000000002</v>
      </c>
    </row>
    <row r="45" spans="1:40" x14ac:dyDescent="0.2">
      <c r="B45" s="39">
        <f>'BredHeifer (Public)'!$E$71</f>
        <v>400</v>
      </c>
      <c r="C45" s="123">
        <f>E45-('BredHeifer (Public)'!$E$66*2*'BredHeifer (Public)'!$E$22*'BredHeifer (Public)'!$E$7)</f>
        <v>-56.774999999999977</v>
      </c>
      <c r="D45" s="8">
        <f>E45-('BredHeifer (Public)'!$E$66*'BredHeifer (Public)'!$E$22*'BredHeifer (Public)'!$E$7)</f>
        <v>32.475000000000023</v>
      </c>
      <c r="E45" s="68">
        <f>D31</f>
        <v>121.72500000000002</v>
      </c>
      <c r="F45" s="8">
        <f>E45+('BredHeifer (Public)'!$E$66*'BredHeifer (Public)'!$E$22*'BredHeifer (Public)'!$E$7)</f>
        <v>210.97500000000002</v>
      </c>
      <c r="G45" s="9">
        <f>E45+('BredHeifer (Public)'!$E$66*2*'BredHeifer (Public)'!$E$22*'BredHeifer (Public)'!$E$7)</f>
        <v>300.22500000000002</v>
      </c>
      <c r="M45" s="39">
        <f>'BredHeifer (Public)'!$E$71</f>
        <v>400</v>
      </c>
      <c r="N45" s="123">
        <f>P45-('BredHeifer (Public)'!$E$66*2*'BredHeifer (Public)'!$E$22*'BredHeifer (Public)'!$E$7)</f>
        <v>-91.774999999999977</v>
      </c>
      <c r="O45" s="8">
        <f>P45-('BredHeifer (Public)'!$E$66*'BredHeifer (Public)'!$E$22*'BredHeifer (Public)'!$E$7)</f>
        <v>-2.5249999999999773</v>
      </c>
      <c r="P45" s="68">
        <f>O31</f>
        <v>86.725000000000023</v>
      </c>
      <c r="Q45" s="8">
        <f>P45+('BredHeifer (Public)'!$E$66*'BredHeifer (Public)'!$E$22*'BredHeifer (Public)'!$E$7)</f>
        <v>175.97500000000002</v>
      </c>
      <c r="R45" s="9">
        <f>P45+('BredHeifer (Public)'!$E$66*2*'BredHeifer (Public)'!$E$22*'BredHeifer (Public)'!$E$7)</f>
        <v>265.22500000000002</v>
      </c>
      <c r="X45" s="39">
        <f>'BredHeifer (Public)'!$E$71</f>
        <v>400</v>
      </c>
      <c r="Y45" s="123">
        <f>AA45-('BredHeifer (Public)'!$E$66*2*'BredHeifer (Public)'!$E$22*'BredHeifer (Public)'!$E$7)</f>
        <v>-21.774999999999977</v>
      </c>
      <c r="Z45" s="8">
        <f>AA45-('BredHeifer (Public)'!$E$66*'BredHeifer (Public)'!$E$22*'BredHeifer (Public)'!$E$7)</f>
        <v>67.475000000000023</v>
      </c>
      <c r="AA45" s="68">
        <f>Z31</f>
        <v>156.72500000000002</v>
      </c>
      <c r="AB45" s="8">
        <f>AA45+('BredHeifer (Public)'!$E$66*'BredHeifer (Public)'!$E$22*'BredHeifer (Public)'!$E$7)</f>
        <v>245.97500000000002</v>
      </c>
      <c r="AC45" s="9">
        <f>AA45+('BredHeifer (Public)'!$E$66*2*'BredHeifer (Public)'!$E$22*'BredHeifer (Public)'!$E$7)</f>
        <v>335.22500000000002</v>
      </c>
      <c r="AI45" s="39">
        <f>'BredHeifer (Public)'!$E$71</f>
        <v>400</v>
      </c>
      <c r="AJ45" s="123">
        <f>AL45-('BredHeifer (Public)'!$E$66*2*'BredHeifer (Public)'!$E$22*'BredHeifer (Public)'!$E$7)</f>
        <v>-35.524999999999977</v>
      </c>
      <c r="AK45" s="8">
        <f>AL45-('BredHeifer (Public)'!$E$66*'BredHeifer (Public)'!$E$22*'BredHeifer (Public)'!$E$7)</f>
        <v>53.725000000000023</v>
      </c>
      <c r="AL45" s="141">
        <f>AK31</f>
        <v>142.97500000000002</v>
      </c>
      <c r="AM45" s="8">
        <f>AL45+('BredHeifer (Public)'!$E$66*'BredHeifer (Public)'!$E$22*'BredHeifer (Public)'!$E$7)</f>
        <v>232.22500000000002</v>
      </c>
      <c r="AN45" s="9">
        <f>AL45+('BredHeifer (Public)'!$E$66*2*'BredHeifer (Public)'!$E$22*'BredHeifer (Public)'!$E$7)</f>
        <v>321.47500000000002</v>
      </c>
    </row>
    <row r="46" spans="1:40" x14ac:dyDescent="0.2">
      <c r="B46" s="7">
        <f>B45+'BredHeifer (Public)'!$E$72</f>
        <v>450</v>
      </c>
      <c r="C46" s="123">
        <f>C45-'BredHeifer (Public)'!$E$72</f>
        <v>-106.77499999999998</v>
      </c>
      <c r="D46" s="8">
        <f>D45-'BredHeifer (Public)'!$E$72</f>
        <v>-17.524999999999977</v>
      </c>
      <c r="E46" s="8">
        <f>E45-'BredHeifer (Public)'!$E$72</f>
        <v>71.725000000000023</v>
      </c>
      <c r="F46" s="8">
        <f>F45-'BredHeifer (Public)'!$E$72</f>
        <v>160.97500000000002</v>
      </c>
      <c r="G46" s="124">
        <f>G45-'BredHeifer (Public)'!$E$72</f>
        <v>250.22500000000002</v>
      </c>
      <c r="M46" s="7">
        <f>M45+'BredHeifer (Public)'!$E$72</f>
        <v>450</v>
      </c>
      <c r="N46" s="123">
        <f>N45-'BredHeifer (Public)'!$E$72</f>
        <v>-141.77499999999998</v>
      </c>
      <c r="O46" s="8">
        <f>O45-'BredHeifer (Public)'!$E$72</f>
        <v>-52.524999999999977</v>
      </c>
      <c r="P46" s="8">
        <f>P45-'BredHeifer (Public)'!$E$72</f>
        <v>36.725000000000023</v>
      </c>
      <c r="Q46" s="8">
        <f>Q45-'BredHeifer (Public)'!$E$72</f>
        <v>125.97500000000002</v>
      </c>
      <c r="R46" s="124">
        <f>R45-'BredHeifer (Public)'!$E$72</f>
        <v>215.22500000000002</v>
      </c>
      <c r="X46" s="7">
        <f>X45+'BredHeifer (Public)'!$E$72</f>
        <v>450</v>
      </c>
      <c r="Y46" s="123">
        <f>Y45-'BredHeifer (Public)'!$E$72</f>
        <v>-71.774999999999977</v>
      </c>
      <c r="Z46" s="8">
        <f>Z45-'BredHeifer (Public)'!$E$72</f>
        <v>17.475000000000023</v>
      </c>
      <c r="AA46" s="8">
        <f>AA45-'BredHeifer (Public)'!$E$72</f>
        <v>106.72500000000002</v>
      </c>
      <c r="AB46" s="8">
        <f>AB45-'BredHeifer (Public)'!$E$72</f>
        <v>195.97500000000002</v>
      </c>
      <c r="AC46" s="124">
        <f>AC45-'BredHeifer (Public)'!$E$72</f>
        <v>285.22500000000002</v>
      </c>
      <c r="AI46" s="7">
        <f>AI45+'BredHeifer (Public)'!$E$72</f>
        <v>450</v>
      </c>
      <c r="AJ46" s="123">
        <f>AJ45-'BredHeifer (Public)'!$E$72</f>
        <v>-85.524999999999977</v>
      </c>
      <c r="AK46" s="8">
        <f>AK45-'BredHeifer (Public)'!$E$72</f>
        <v>3.7250000000000227</v>
      </c>
      <c r="AL46" s="8">
        <f>AL45-'BredHeifer (Public)'!$E$72</f>
        <v>92.975000000000023</v>
      </c>
      <c r="AM46" s="8">
        <f>AM45-'BredHeifer (Public)'!$E$72</f>
        <v>182.22500000000002</v>
      </c>
      <c r="AN46" s="124">
        <f>AN45-'BredHeifer (Public)'!$E$72</f>
        <v>271.47500000000002</v>
      </c>
    </row>
    <row r="47" spans="1:40" x14ac:dyDescent="0.2">
      <c r="B47" s="7">
        <f>B46+'BredHeifer (Public)'!$E$72</f>
        <v>500</v>
      </c>
      <c r="C47" s="123">
        <f>C46-'BredHeifer (Public)'!$E$72</f>
        <v>-156.77499999999998</v>
      </c>
      <c r="D47" s="8">
        <f>D46-'BredHeifer (Public)'!$E$72</f>
        <v>-67.524999999999977</v>
      </c>
      <c r="E47" s="8">
        <f>E46-'BredHeifer (Public)'!$E$72</f>
        <v>21.725000000000023</v>
      </c>
      <c r="F47" s="8">
        <f>F46-'BredHeifer (Public)'!$E$72</f>
        <v>110.97500000000002</v>
      </c>
      <c r="G47" s="124">
        <f>G46-'BredHeifer (Public)'!$E$72</f>
        <v>200.22500000000002</v>
      </c>
      <c r="M47" s="7">
        <f>M46+'BredHeifer (Public)'!$E$72</f>
        <v>500</v>
      </c>
      <c r="N47" s="123">
        <f>N46-'BredHeifer (Public)'!$E$72</f>
        <v>-191.77499999999998</v>
      </c>
      <c r="O47" s="8">
        <f>O46-'BredHeifer (Public)'!$E$72</f>
        <v>-102.52499999999998</v>
      </c>
      <c r="P47" s="8">
        <f>P46-'BredHeifer (Public)'!$E$72</f>
        <v>-13.274999999999977</v>
      </c>
      <c r="Q47" s="8">
        <f>Q46-'BredHeifer (Public)'!$E$72</f>
        <v>75.975000000000023</v>
      </c>
      <c r="R47" s="124">
        <f>R46-'BredHeifer (Public)'!$E$72</f>
        <v>165.22500000000002</v>
      </c>
      <c r="X47" s="7">
        <f>X46+'BredHeifer (Public)'!$E$72</f>
        <v>500</v>
      </c>
      <c r="Y47" s="123">
        <f>Y46-'BredHeifer (Public)'!$E$72</f>
        <v>-121.77499999999998</v>
      </c>
      <c r="Z47" s="8">
        <f>Z46-'BredHeifer (Public)'!$E$72</f>
        <v>-32.524999999999977</v>
      </c>
      <c r="AA47" s="8">
        <f>AA46-'BredHeifer (Public)'!$E$72</f>
        <v>56.725000000000023</v>
      </c>
      <c r="AB47" s="8">
        <f>AB46-'BredHeifer (Public)'!$E$72</f>
        <v>145.97500000000002</v>
      </c>
      <c r="AC47" s="124">
        <f>AC46-'BredHeifer (Public)'!$E$72</f>
        <v>235.22500000000002</v>
      </c>
      <c r="AI47" s="7">
        <f>AI46+'BredHeifer (Public)'!$E$72</f>
        <v>500</v>
      </c>
      <c r="AJ47" s="123">
        <f>AJ46-'BredHeifer (Public)'!$E$72</f>
        <v>-135.52499999999998</v>
      </c>
      <c r="AK47" s="8">
        <f>AK46-'BredHeifer (Public)'!$E$72</f>
        <v>-46.274999999999977</v>
      </c>
      <c r="AL47" s="8">
        <f>AL46-'BredHeifer (Public)'!$E$72</f>
        <v>42.975000000000023</v>
      </c>
      <c r="AM47" s="8">
        <f>AM46-'BredHeifer (Public)'!$E$72</f>
        <v>132.22500000000002</v>
      </c>
      <c r="AN47" s="124">
        <f>AN46-'BredHeifer (Public)'!$E$72</f>
        <v>221.47500000000002</v>
      </c>
    </row>
    <row r="48" spans="1:40" ht="40.5" customHeight="1" thickBot="1" x14ac:dyDescent="0.25">
      <c r="B48" s="179" t="s">
        <v>121</v>
      </c>
      <c r="C48" s="180"/>
      <c r="D48" s="180"/>
      <c r="E48" s="180"/>
      <c r="F48" s="180"/>
      <c r="G48" s="181"/>
      <c r="M48" s="179" t="s">
        <v>121</v>
      </c>
      <c r="N48" s="180"/>
      <c r="O48" s="180"/>
      <c r="P48" s="180"/>
      <c r="Q48" s="180"/>
      <c r="R48" s="181"/>
      <c r="X48" s="179" t="s">
        <v>121</v>
      </c>
      <c r="Y48" s="180"/>
      <c r="Z48" s="180"/>
      <c r="AA48" s="180"/>
      <c r="AB48" s="180"/>
      <c r="AC48" s="181"/>
      <c r="AI48" s="179" t="s">
        <v>121</v>
      </c>
      <c r="AJ48" s="180"/>
      <c r="AK48" s="180"/>
      <c r="AL48" s="180"/>
      <c r="AM48" s="180"/>
      <c r="AN48" s="181"/>
    </row>
    <row r="49" spans="25:30" ht="13.5" thickTop="1" x14ac:dyDescent="0.2">
      <c r="Y49" s="56"/>
      <c r="Z49" s="56"/>
      <c r="AA49" s="56"/>
      <c r="AB49" s="56"/>
      <c r="AC49" s="56"/>
      <c r="AD49" s="56"/>
    </row>
  </sheetData>
  <mergeCells count="16">
    <mergeCell ref="A6:J6"/>
    <mergeCell ref="K6:U6"/>
    <mergeCell ref="M40:R40"/>
    <mergeCell ref="N41:R41"/>
    <mergeCell ref="M48:R48"/>
    <mergeCell ref="B40:G40"/>
    <mergeCell ref="C41:G41"/>
    <mergeCell ref="B48:G48"/>
    <mergeCell ref="AG6:AQ6"/>
    <mergeCell ref="AI40:AN40"/>
    <mergeCell ref="AJ41:AN41"/>
    <mergeCell ref="AI48:AN48"/>
    <mergeCell ref="V6:AF6"/>
    <mergeCell ref="X48:AC48"/>
    <mergeCell ref="X40:AC40"/>
    <mergeCell ref="Y41:AC41"/>
  </mergeCells>
  <phoneticPr fontId="0" type="noConversion"/>
  <pageMargins left="0.75" right="0.75" top="1" bottom="1" header="0.5" footer="0.5"/>
  <headerFooter alignWithMargins="0"/>
  <legacy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D28"/>
  <sheetViews>
    <sheetView workbookViewId="0">
      <selection activeCell="D14" sqref="D14"/>
    </sheetView>
  </sheetViews>
  <sheetFormatPr defaultRowHeight="12.75" x14ac:dyDescent="0.2"/>
  <sheetData>
    <row r="3" spans="2:2" x14ac:dyDescent="0.2">
      <c r="B3" s="10" t="s">
        <v>56</v>
      </c>
    </row>
    <row r="5" spans="2:2" x14ac:dyDescent="0.2">
      <c r="B5" t="s">
        <v>81</v>
      </c>
    </row>
    <row r="7" spans="2:2" x14ac:dyDescent="0.2">
      <c r="B7" t="s">
        <v>59</v>
      </c>
    </row>
    <row r="8" spans="2:2" x14ac:dyDescent="0.2">
      <c r="B8" t="s">
        <v>57</v>
      </c>
    </row>
    <row r="9" spans="2:2" x14ac:dyDescent="0.2">
      <c r="B9" t="s">
        <v>58</v>
      </c>
    </row>
    <row r="11" spans="2:2" x14ac:dyDescent="0.2">
      <c r="B11" s="1" t="s">
        <v>69</v>
      </c>
    </row>
    <row r="12" spans="2:2" x14ac:dyDescent="0.2">
      <c r="B12" s="10"/>
    </row>
    <row r="18" spans="2:4" x14ac:dyDescent="0.2">
      <c r="C18" s="1"/>
    </row>
    <row r="23" spans="2:4" x14ac:dyDescent="0.2">
      <c r="B23" s="58" t="s">
        <v>33</v>
      </c>
      <c r="C23" s="62"/>
      <c r="D23" s="54" t="s">
        <v>65</v>
      </c>
    </row>
    <row r="24" spans="2:4" x14ac:dyDescent="0.2">
      <c r="B24" s="54" t="s">
        <v>2</v>
      </c>
      <c r="C24" s="56"/>
      <c r="D24" s="56"/>
    </row>
    <row r="25" spans="2:4" x14ac:dyDescent="0.2">
      <c r="B25" s="54" t="s">
        <v>3</v>
      </c>
      <c r="C25" s="56"/>
      <c r="D25" s="56"/>
    </row>
    <row r="26" spans="2:4" x14ac:dyDescent="0.2">
      <c r="B26" s="54" t="s">
        <v>4</v>
      </c>
      <c r="C26" s="56"/>
      <c r="D26" s="56"/>
    </row>
    <row r="27" spans="2:4" x14ac:dyDescent="0.2">
      <c r="B27" s="54" t="s">
        <v>5</v>
      </c>
      <c r="C27" s="56"/>
      <c r="D27" s="56"/>
    </row>
    <row r="28" spans="2:4" x14ac:dyDescent="0.2">
      <c r="B28" s="56"/>
      <c r="C28" s="56"/>
      <c r="D28" s="56"/>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Cover</vt:lpstr>
      <vt:lpstr>BredHeifer (Public)</vt:lpstr>
      <vt:lpstr>Adjusted Heifer Prices</vt:lpstr>
      <vt:lpstr>Notes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Greg Halich</dc:creator>
  <cp:lastModifiedBy>Greg Halich</cp:lastModifiedBy>
  <cp:lastPrinted>2015-10-19T14:34:32Z</cp:lastPrinted>
  <dcterms:created xsi:type="dcterms:W3CDTF">2003-09-21T12:28:39Z</dcterms:created>
  <dcterms:modified xsi:type="dcterms:W3CDTF">2016-01-14T15:37:00Z</dcterms:modified>
</cp:coreProperties>
</file>