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https://luky-my.sharepoint.com/personal/ncat223_uky_edu/Documents/Downloads/"/>
    </mc:Choice>
  </mc:AlternateContent>
  <xr:revisionPtr revIDLastSave="0" documentId="8_{AA9C1BC3-C884-4559-A454-22C6AD391DC5}" xr6:coauthVersionLast="47" xr6:coauthVersionMax="47" xr10:uidLastSave="{00000000-0000-0000-0000-000000000000}"/>
  <workbookProtection workbookAlgorithmName="SHA-512" workbookHashValue="6QE6vyVZ9mjPKxrMWfwhOeRXDFQAXHurOovDw8Nbydk48C4WfW9zFF9RIIAgJW8CtJUxfRSWug1grPY9BXYa9w==" workbookSaltValue="Yok103x79ix2L5f+Sz1DNA==" workbookSpinCount="100000" lockStructure="1"/>
  <bookViews>
    <workbookView xWindow="-120" yWindow="-120" windowWidth="25440" windowHeight="15270" tabRatio="824" xr2:uid="{00000000-000D-0000-FFFF-FFFF00000000}"/>
  </bookViews>
  <sheets>
    <sheet name="Introduction" sheetId="12" r:id="rId1"/>
    <sheet name="CowCalf Spring" sheetId="2" r:id="rId2"/>
    <sheet name="CowCalf Fall" sheetId="1" r:id="rId3"/>
    <sheet name="Replacement Beef Heifer" sheetId="3" r:id="rId4"/>
    <sheet name="Steer Backgrounding" sheetId="19" r:id="rId5"/>
    <sheet name="Summer Grazing" sheetId="21" r:id="rId6"/>
  </sheets>
  <definedNames>
    <definedName name="_xlnm.Print_Area" localSheetId="1">'CowCalf Spring'!$A$1:$H$51</definedName>
    <definedName name="_xlnm.Print_Area" localSheetId="4">'Steer Backgrounding'!$A$1:$H$53</definedName>
    <definedName name="_xlnm.Print_Area" localSheetId="5">'Summer Grazing'!$A$1:$F$52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9" i="2" l="1"/>
  <c r="E29" i="2"/>
  <c r="H25" i="1"/>
  <c r="G32" i="19"/>
  <c r="F32" i="19"/>
  <c r="E32" i="19"/>
  <c r="C13" i="1"/>
  <c r="E13" i="1"/>
  <c r="H13" i="1" s="1"/>
  <c r="H16" i="1" s="1"/>
  <c r="C14" i="1"/>
  <c r="E14" i="1" s="1"/>
  <c r="H14" i="1" s="1"/>
  <c r="C15" i="1"/>
  <c r="E15" i="1"/>
  <c r="H15" i="1"/>
  <c r="C13" i="2"/>
  <c r="E13" i="2"/>
  <c r="H13" i="2"/>
  <c r="H16" i="2" s="1"/>
  <c r="C14" i="2"/>
  <c r="E14" i="2"/>
  <c r="H14" i="2"/>
  <c r="C15" i="2"/>
  <c r="E15" i="2"/>
  <c r="H15" i="2"/>
  <c r="H19" i="2"/>
  <c r="H20" i="2"/>
  <c r="H21" i="2"/>
  <c r="H22" i="2"/>
  <c r="H23" i="2"/>
  <c r="H24" i="2"/>
  <c r="E26" i="2"/>
  <c r="H14" i="3"/>
  <c r="E23" i="3" s="1"/>
  <c r="H23" i="3" s="1"/>
  <c r="H15" i="3"/>
  <c r="H16" i="3"/>
  <c r="H17" i="3"/>
  <c r="H18" i="3"/>
  <c r="H19" i="3"/>
  <c r="H20" i="3"/>
  <c r="H21" i="3"/>
  <c r="H22" i="3"/>
  <c r="H32" i="3"/>
  <c r="H34" i="3"/>
  <c r="H27" i="2"/>
  <c r="H28" i="2"/>
  <c r="E26" i="1"/>
  <c r="H19" i="1"/>
  <c r="H20" i="1"/>
  <c r="H21" i="1"/>
  <c r="H22" i="1"/>
  <c r="H23" i="1"/>
  <c r="H24" i="1"/>
  <c r="H27" i="1"/>
  <c r="H28" i="1"/>
  <c r="H37" i="1"/>
  <c r="H38" i="1" s="1"/>
  <c r="H37" i="2"/>
  <c r="H38" i="2"/>
  <c r="G24" i="19"/>
  <c r="G31" i="19"/>
  <c r="G13" i="19"/>
  <c r="G27" i="19" s="1"/>
  <c r="G26" i="19"/>
  <c r="G25" i="19"/>
  <c r="F24" i="19"/>
  <c r="F33" i="19" s="1"/>
  <c r="F31" i="19"/>
  <c r="F13" i="19"/>
  <c r="F29" i="19" s="1"/>
  <c r="F28" i="19"/>
  <c r="F26" i="19"/>
  <c r="E24" i="19"/>
  <c r="E31" i="19"/>
  <c r="E13" i="19"/>
  <c r="E26" i="19" s="1"/>
  <c r="E25" i="19"/>
  <c r="E28" i="19"/>
  <c r="G45" i="19"/>
  <c r="F45" i="19"/>
  <c r="E45" i="19"/>
  <c r="B17" i="21"/>
  <c r="B25" i="21" s="1"/>
  <c r="E25" i="21" s="1"/>
  <c r="F25" i="21" s="1"/>
  <c r="E28" i="21"/>
  <c r="F28" i="21" s="1"/>
  <c r="E24" i="21"/>
  <c r="F24" i="21" s="1"/>
  <c r="E29" i="21"/>
  <c r="F29" i="21" s="1"/>
  <c r="E26" i="21"/>
  <c r="F26" i="21" s="1"/>
  <c r="E27" i="21"/>
  <c r="F27" i="21" s="1"/>
  <c r="E31" i="21"/>
  <c r="F31" i="21" s="1"/>
  <c r="E33" i="21"/>
  <c r="F33" i="21"/>
  <c r="B11" i="21"/>
  <c r="B13" i="21" s="1"/>
  <c r="B12" i="21"/>
  <c r="B20" i="21" s="1"/>
  <c r="E20" i="21" s="1"/>
  <c r="F20" i="21" s="1"/>
  <c r="F21" i="21" s="1"/>
  <c r="E42" i="21"/>
  <c r="F42" i="21" s="1"/>
  <c r="E43" i="21"/>
  <c r="F40" i="21"/>
  <c r="F41" i="21"/>
  <c r="G29" i="19"/>
  <c r="G28" i="19"/>
  <c r="F27" i="19"/>
  <c r="F25" i="19"/>
  <c r="F36" i="19"/>
  <c r="F37" i="19"/>
  <c r="B34" i="21" l="1"/>
  <c r="E34" i="21" s="1"/>
  <c r="F43" i="21"/>
  <c r="F32" i="21"/>
  <c r="E32" i="21"/>
  <c r="E21" i="21"/>
  <c r="G36" i="19"/>
  <c r="G37" i="19" s="1"/>
  <c r="E30" i="19"/>
  <c r="G42" i="19"/>
  <c r="F35" i="19"/>
  <c r="F42" i="19"/>
  <c r="F43" i="19" s="1"/>
  <c r="F51" i="19" s="1"/>
  <c r="E27" i="19"/>
  <c r="E36" i="19" s="1"/>
  <c r="E37" i="19" s="1"/>
  <c r="F39" i="19"/>
  <c r="G43" i="19"/>
  <c r="G51" i="19" s="1"/>
  <c r="E42" i="19"/>
  <c r="E43" i="19" s="1"/>
  <c r="E51" i="19" s="1"/>
  <c r="G39" i="19"/>
  <c r="G35" i="19"/>
  <c r="E39" i="19"/>
  <c r="E33" i="19"/>
  <c r="G33" i="19"/>
  <c r="H25" i="3"/>
  <c r="H37" i="3" s="1"/>
  <c r="H25" i="2"/>
  <c r="D30" i="21" l="1"/>
  <c r="E30" i="21" s="1"/>
  <c r="E47" i="19"/>
  <c r="E44" i="19"/>
  <c r="E49" i="19"/>
  <c r="E41" i="19"/>
  <c r="F44" i="19"/>
  <c r="F41" i="19"/>
  <c r="F47" i="19"/>
  <c r="F49" i="19"/>
  <c r="G49" i="19"/>
  <c r="G41" i="19"/>
  <c r="G47" i="19"/>
  <c r="G44" i="19"/>
  <c r="E35" i="19"/>
  <c r="G26" i="1"/>
  <c r="H26" i="1" s="1"/>
  <c r="E29" i="1" s="1"/>
  <c r="H29" i="1" s="1"/>
  <c r="H30" i="1" s="1"/>
  <c r="G26" i="2"/>
  <c r="H26" i="2" s="1"/>
  <c r="H30" i="2" s="1"/>
  <c r="F30" i="21" l="1"/>
  <c r="F34" i="21"/>
  <c r="H40" i="1"/>
  <c r="F45" i="1"/>
  <c r="D45" i="1"/>
  <c r="B45" i="1"/>
  <c r="H32" i="1"/>
  <c r="E45" i="2"/>
  <c r="C45" i="2"/>
  <c r="H40" i="2"/>
  <c r="G45" i="2"/>
  <c r="H32" i="2"/>
  <c r="H42" i="2" s="1"/>
  <c r="E35" i="21" l="1"/>
  <c r="E49" i="21" s="1"/>
  <c r="F35" i="21"/>
  <c r="B47" i="1"/>
  <c r="D47" i="1"/>
  <c r="F47" i="1"/>
  <c r="H42" i="1"/>
  <c r="E47" i="2"/>
  <c r="C47" i="2"/>
  <c r="G47" i="2"/>
  <c r="E45" i="21" l="1"/>
  <c r="E50" i="21" s="1"/>
  <c r="E37" i="21"/>
  <c r="F45" i="21"/>
  <c r="F47" i="21" s="1"/>
  <c r="F37" i="21"/>
  <c r="E47"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Stephanie Goode</author>
  </authors>
  <commentList>
    <comment ref="A13" authorId="0" shapeId="0" xr:uid="{00000000-0006-0000-0200-000001000000}">
      <text>
        <r>
          <rPr>
            <sz val="8"/>
            <color indexed="81"/>
            <rFont val="Tahoma"/>
            <family val="2"/>
          </rPr>
          <t xml:space="preserve">Animals sold reflect the  calving rate and other data entered above.
 Calves are born March 1 to May 15 and weaned at 9 months of age.  It is assumed that mature animal deaths occur from among those animals culled or scheduled to be culled. </t>
        </r>
        <r>
          <rPr>
            <sz val="8"/>
            <color indexed="81"/>
            <rFont val="Tahoma"/>
            <family val="2"/>
          </rPr>
          <t xml:space="preserve">
</t>
        </r>
      </text>
    </comment>
    <comment ref="A14" authorId="0" shapeId="0" xr:uid="{00000000-0006-0000-0200-000002000000}">
      <text>
        <r>
          <rPr>
            <sz val="8"/>
            <color indexed="81"/>
            <rFont val="Tahoma"/>
            <family val="2"/>
          </rPr>
          <t xml:space="preserve">Heifer calf sales reflect  the  cow replacement rate entered above.
</t>
        </r>
      </text>
    </comment>
    <comment ref="A15" authorId="0" shapeId="0" xr:uid="{00000000-0006-0000-0200-000003000000}">
      <text>
        <r>
          <rPr>
            <sz val="8"/>
            <color indexed="81"/>
            <rFont val="Tahoma"/>
            <family val="2"/>
          </rPr>
          <t>Cull cow sales assume a culling rate for the mature producing herd (cow replacement rate -minus the breeding herd death rate).  Cull cows are sold in fall directly after pregnancy checking to avoid feeding open cows.</t>
        </r>
        <r>
          <rPr>
            <sz val="8"/>
            <color indexed="81"/>
            <rFont val="Tahoma"/>
            <family val="2"/>
          </rPr>
          <t xml:space="preserve">
</t>
        </r>
      </text>
    </comment>
    <comment ref="A19" authorId="0" shapeId="0" xr:uid="{00000000-0006-0000-0200-000004000000}">
      <text>
        <r>
          <rPr>
            <sz val="8"/>
            <color indexed="81"/>
            <rFont val="Tahoma"/>
            <family val="2"/>
          </rPr>
          <t xml:space="preserve">Pasture maintenance covers operating costs of required annual clipping and renovating pastures every third year including: 8 lbs. clover seed, 50 lbs. P2O5, 50 lbs. K20, 1 ton  lime and their application.  Soil test should be used to determine nutrient needs.
</t>
        </r>
      </text>
    </comment>
    <comment ref="A20" authorId="0" shapeId="0" xr:uid="{00000000-0006-0000-0200-000005000000}">
      <text>
        <r>
          <rPr>
            <sz val="8"/>
            <color indexed="81"/>
            <rFont val="Tahoma"/>
            <family val="2"/>
          </rPr>
          <t xml:space="preserve">Price assumes use of good quality grass legume hay.
</t>
        </r>
      </text>
    </comment>
    <comment ref="A21" authorId="0" shapeId="0" xr:uid="{00000000-0006-0000-0200-000006000000}">
      <text>
        <r>
          <rPr>
            <sz val="8"/>
            <color indexed="81"/>
            <rFont val="Tahoma"/>
            <family val="2"/>
          </rPr>
          <t xml:space="preserve">It is assumed that corn is used as the grain supplement.  If other feeds are used, the amount and price should be changed to reflect the use of an alternative supplement.
</t>
        </r>
      </text>
    </comment>
    <comment ref="A22" authorId="0" shapeId="0" xr:uid="{00000000-0006-0000-0200-000007000000}">
      <text>
        <r>
          <rPr>
            <sz val="8"/>
            <color indexed="81"/>
            <rFont val="Tahoma"/>
            <family val="2"/>
          </rPr>
          <t xml:space="preserve">Use of a complete salt and mineral mix is assumed.
</t>
        </r>
      </text>
    </comment>
    <comment ref="A23" authorId="0" shapeId="0" xr:uid="{00000000-0006-0000-0200-000008000000}">
      <text>
        <r>
          <rPr>
            <sz val="8"/>
            <color indexed="81"/>
            <rFont val="Tahoma"/>
            <family val="2"/>
          </rPr>
          <t xml:space="preserve">Category includes the cost of pregnancy checking, deworming, vaccinations, ear tags, implanting, spraying, and any required first aid.
</t>
        </r>
      </text>
    </comment>
    <comment ref="A24" authorId="0" shapeId="0" xr:uid="{00000000-0006-0000-0200-000009000000}">
      <text>
        <r>
          <rPr>
            <sz val="8"/>
            <color indexed="81"/>
            <rFont val="Tahoma"/>
            <family val="2"/>
          </rPr>
          <t xml:space="preserve">Breeding cost reflects the cost of one bull per 25 cows in the herd for a three year period.
</t>
        </r>
      </text>
    </comment>
    <comment ref="A25" authorId="0" shapeId="0" xr:uid="{00000000-0006-0000-0200-00000A000000}">
      <text>
        <r>
          <rPr>
            <sz val="8"/>
            <color indexed="81"/>
            <rFont val="Tahoma"/>
            <family val="2"/>
          </rPr>
          <t xml:space="preserve">Cost of marketing is assumed to be $5.00 per head plus 2.5% of gross sale value of all animals sold.
</t>
        </r>
      </text>
    </comment>
    <comment ref="A26" authorId="0" shapeId="0" xr:uid="{00000000-0006-0000-0200-00000B000000}">
      <text>
        <r>
          <rPr>
            <sz val="8"/>
            <color indexed="81"/>
            <rFont val="Tahoma"/>
            <family val="2"/>
          </rPr>
          <t xml:space="preserve">Amount reflects a replacement rate of 15%.  Cost includes all operating costs for growth and maintenance of a replacement heifer as specified in the accompanying Replacement Beef Heifer Budget.
</t>
        </r>
      </text>
    </comment>
    <comment ref="A27" authorId="0" shapeId="0" xr:uid="{00000000-0006-0000-0200-00000C000000}">
      <text>
        <r>
          <rPr>
            <sz val="8"/>
            <color indexed="81"/>
            <rFont val="Tahoma"/>
            <family val="2"/>
          </rPr>
          <t xml:space="preserve">Category includes the operating costs for fuel, repairs, and  maintenance of machinery, equipment, and buildings used directly in the beef cow operation.
</t>
        </r>
      </text>
    </comment>
    <comment ref="A28" authorId="0" shapeId="0" xr:uid="{00000000-0006-0000-0200-00000D000000}">
      <text>
        <r>
          <rPr>
            <sz val="8"/>
            <color indexed="81"/>
            <rFont val="Tahoma"/>
            <family val="2"/>
          </rPr>
          <t xml:space="preserve">Category includes any other operating costs not otherwise specified  such as any custom work or hired labor that is required.    
</t>
        </r>
      </text>
    </comment>
    <comment ref="A29" authorId="0" shapeId="0" xr:uid="{00000000-0006-0000-0200-00000E000000}">
      <text>
        <r>
          <rPr>
            <sz val="8"/>
            <color indexed="81"/>
            <rFont val="Tahoma"/>
            <family val="2"/>
          </rPr>
          <t xml:space="preserve">Interest is charged on all variable costs for 9 months at the specified APR.
</t>
        </r>
      </text>
    </comment>
    <comment ref="A35" authorId="0" shapeId="0" xr:uid="{00000000-0006-0000-0200-00000F000000}">
      <text>
        <r>
          <rPr>
            <sz val="8"/>
            <color indexed="81"/>
            <rFont val="Tahoma"/>
            <family val="2"/>
          </rPr>
          <t xml:space="preserve">Depreciation on machinery, equipment, buildings, fences, and other improvements.
</t>
        </r>
      </text>
    </comment>
    <comment ref="A36" authorId="0" shapeId="0" xr:uid="{00000000-0006-0000-0200-000010000000}">
      <text>
        <r>
          <rPr>
            <sz val="8"/>
            <color indexed="81"/>
            <rFont val="Tahoma"/>
            <family val="2"/>
          </rPr>
          <t xml:space="preserve">Real estate tax and insurance on machinery, equipment, buildings, and other improvements.
</t>
        </r>
      </text>
    </comment>
    <comment ref="A37" authorId="0" shapeId="0" xr:uid="{00000000-0006-0000-0200-000011000000}">
      <text>
        <r>
          <rPr>
            <sz val="8"/>
            <color indexed="81"/>
            <rFont val="Tahoma"/>
            <family val="2"/>
          </rPr>
          <t xml:space="preserve">Labor required is assumed to be supplied by operator and family.  If labor is hired, this should be entered as other expense and this item adjusted accordingly.  Does not include labor used in hay enterprise.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Stephanie Goode</author>
  </authors>
  <commentList>
    <comment ref="A13" authorId="0" shapeId="0" xr:uid="{00000000-0006-0000-0300-000001000000}">
      <text>
        <r>
          <rPr>
            <sz val="8"/>
            <color indexed="81"/>
            <rFont val="Tahoma"/>
            <family val="2"/>
          </rPr>
          <t xml:space="preserve">Animals sold reflect the  calving rate and other data entered above.
 Calves are born September 1 to November 15 and weaned at 10 months of age.  It is assumed that mature animal deaths occur from among those animals culled or scheduled to be culled from the breeding herd.
</t>
        </r>
      </text>
    </comment>
    <comment ref="A14" authorId="0" shapeId="0" xr:uid="{00000000-0006-0000-0300-000002000000}">
      <text>
        <r>
          <rPr>
            <sz val="8"/>
            <color indexed="81"/>
            <rFont val="Tahoma"/>
            <family val="2"/>
          </rPr>
          <t xml:space="preserve">Heifer calf sales reflect  the  cow replacement rate entered above.
</t>
        </r>
      </text>
    </comment>
    <comment ref="A15" authorId="0" shapeId="0" xr:uid="{00000000-0006-0000-0300-000003000000}">
      <text>
        <r>
          <rPr>
            <sz val="8"/>
            <color indexed="81"/>
            <rFont val="Tahoma"/>
            <family val="2"/>
          </rPr>
          <t xml:space="preserve">Cull cow sales assume a culling rate for the mature producing herd (cow replacement rate -minus the breeding herd death rate).  Cull cows are sold in fall directly after pregnancy checking to avoid feeding open cows.
</t>
        </r>
      </text>
    </comment>
    <comment ref="A19" authorId="0" shapeId="0" xr:uid="{00000000-0006-0000-0300-000004000000}">
      <text>
        <r>
          <rPr>
            <sz val="8"/>
            <color indexed="81"/>
            <rFont val="Tahoma"/>
            <family val="2"/>
          </rPr>
          <t>Pasture maintenance covers operating costs of required annual clipping and renovating pastures every third year including: 8 lbs. clover seed, 50 lbs. P2O5, 50 lbs. K20, 1 ton  lime and their application.  Soil test should be used to determine nutrient needs</t>
        </r>
      </text>
    </comment>
    <comment ref="A20" authorId="0" shapeId="0" xr:uid="{00000000-0006-0000-0300-000005000000}">
      <text>
        <r>
          <rPr>
            <sz val="8"/>
            <color indexed="81"/>
            <rFont val="Tahoma"/>
            <family val="2"/>
          </rPr>
          <t>Price assumes use of good quality grass legume hay.</t>
        </r>
      </text>
    </comment>
    <comment ref="A21" authorId="0" shapeId="0" xr:uid="{00000000-0006-0000-0300-000006000000}">
      <text>
        <r>
          <rPr>
            <sz val="8"/>
            <color indexed="81"/>
            <rFont val="Tahoma"/>
            <family val="2"/>
          </rPr>
          <t>It is assumed that corn is used as the grain supplement.  If other feeds are used, the amount and price should be changed to reflect the use of an alternative supplement.</t>
        </r>
        <r>
          <rPr>
            <sz val="8"/>
            <color indexed="81"/>
            <rFont val="Tahoma"/>
            <family val="2"/>
          </rPr>
          <t xml:space="preserve">
</t>
        </r>
      </text>
    </comment>
    <comment ref="A22" authorId="0" shapeId="0" xr:uid="{00000000-0006-0000-0300-000007000000}">
      <text>
        <r>
          <rPr>
            <sz val="8"/>
            <color indexed="81"/>
            <rFont val="Tahoma"/>
            <family val="2"/>
          </rPr>
          <t xml:space="preserve">Use of a complete salt and mineral mix is assumed.
</t>
        </r>
      </text>
    </comment>
    <comment ref="A23" authorId="0" shapeId="0" xr:uid="{00000000-0006-0000-0300-000008000000}">
      <text>
        <r>
          <rPr>
            <sz val="8"/>
            <color indexed="81"/>
            <rFont val="Tahoma"/>
            <family val="2"/>
          </rPr>
          <t xml:space="preserve">Category includes the cost of pregnancy checking, deworming, vaccinations, ear tags, implanting, spraying, and any required first aid.
</t>
        </r>
      </text>
    </comment>
    <comment ref="A24" authorId="0" shapeId="0" xr:uid="{00000000-0006-0000-0300-000009000000}">
      <text>
        <r>
          <rPr>
            <sz val="8"/>
            <color indexed="81"/>
            <rFont val="Tahoma"/>
            <family val="2"/>
          </rPr>
          <t xml:space="preserve">Breeding cost reflects the cost of one bull per 25 cows in the herd for a period of three years.
</t>
        </r>
      </text>
    </comment>
    <comment ref="A25" authorId="0" shapeId="0" xr:uid="{00000000-0006-0000-0300-00000A000000}">
      <text>
        <r>
          <rPr>
            <sz val="8"/>
            <color indexed="81"/>
            <rFont val="Tahoma"/>
            <family val="2"/>
          </rPr>
          <t xml:space="preserve">Cost of marketing is assumed to be $5.00 per head plus 2.5% of gross sale value of all animals sold.
</t>
        </r>
      </text>
    </comment>
    <comment ref="A26" authorId="0" shapeId="0" xr:uid="{00000000-0006-0000-0300-00000B000000}">
      <text>
        <r>
          <rPr>
            <sz val="8"/>
            <color indexed="81"/>
            <rFont val="Tahoma"/>
            <family val="2"/>
          </rPr>
          <t xml:space="preserve">Amount reflects a replacement rate of 15%.  Cost includes all operating costs for growth and maintenance of a replacement heifer as specified in the accompanying Replacement Beef Heifer Budget
</t>
        </r>
      </text>
    </comment>
    <comment ref="A27" authorId="0" shapeId="0" xr:uid="{00000000-0006-0000-0300-00000C000000}">
      <text>
        <r>
          <rPr>
            <sz val="8"/>
            <color indexed="81"/>
            <rFont val="Tahoma"/>
            <family val="2"/>
          </rPr>
          <t xml:space="preserve">Category includes the operating costs for fuel, repairs, and maintenance of machinery, equipment, and buildings used directly in the beef cow operation.
</t>
        </r>
      </text>
    </comment>
    <comment ref="A28" authorId="0" shapeId="0" xr:uid="{00000000-0006-0000-0300-00000D000000}">
      <text>
        <r>
          <rPr>
            <sz val="8"/>
            <color indexed="81"/>
            <rFont val="Tahoma"/>
            <family val="2"/>
          </rPr>
          <t xml:space="preserve">Category includes any other operating costs not otherwise specified such as any custom work or hired labor that is required.    
</t>
        </r>
      </text>
    </comment>
    <comment ref="A29" authorId="0" shapeId="0" xr:uid="{00000000-0006-0000-0300-00000E000000}">
      <text>
        <r>
          <rPr>
            <sz val="8"/>
            <color indexed="81"/>
            <rFont val="Tahoma"/>
            <family val="2"/>
          </rPr>
          <t xml:space="preserve">Interest is charged on all variable costs for 10 months at the specified APR.
</t>
        </r>
      </text>
    </comment>
    <comment ref="A35" authorId="0" shapeId="0" xr:uid="{00000000-0006-0000-0300-00000F000000}">
      <text>
        <r>
          <rPr>
            <sz val="8"/>
            <color indexed="81"/>
            <rFont val="Tahoma"/>
            <family val="2"/>
          </rPr>
          <t xml:space="preserve">Depreciation on machinery, equipment, buildings, fences, and other improvements.
</t>
        </r>
      </text>
    </comment>
    <comment ref="A36" authorId="0" shapeId="0" xr:uid="{00000000-0006-0000-0300-000010000000}">
      <text>
        <r>
          <rPr>
            <sz val="8"/>
            <color indexed="81"/>
            <rFont val="Tahoma"/>
            <family val="2"/>
          </rPr>
          <t xml:space="preserve">Real estate tax and insurance on machinery, equipment, buildings, and other improvements.
</t>
        </r>
      </text>
    </comment>
    <comment ref="A37" authorId="0" shapeId="0" xr:uid="{00000000-0006-0000-0300-000011000000}">
      <text>
        <r>
          <rPr>
            <sz val="8"/>
            <color indexed="81"/>
            <rFont val="Tahoma"/>
            <family val="2"/>
          </rPr>
          <t>Labor required is assumed to be supplied by operator and family.  If labor is hired, this should be entered as other expense and this item adjusted accordingly.  Does not include labor used in hay enterprise.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Richard Trimble</author>
    <author>Stephanie Goode</author>
  </authors>
  <commentList>
    <comment ref="C3" authorId="0" shapeId="0" xr:uid="{00000000-0006-0000-0400-000001000000}">
      <text>
        <r>
          <rPr>
            <sz val="8"/>
            <color indexed="81"/>
            <rFont val="Tahoma"/>
            <family val="2"/>
          </rPr>
          <t>Replacement heifers enter breeding herd at 18 months of age at time of annual cow culling.</t>
        </r>
      </text>
    </comment>
    <comment ref="A14" authorId="1" shapeId="0" xr:uid="{00000000-0006-0000-0400-000002000000}">
      <text>
        <r>
          <rPr>
            <sz val="8"/>
            <color indexed="81"/>
            <rFont val="Tahoma"/>
            <family val="2"/>
          </rPr>
          <t>Pasture maintenance covers operating costs of required annual clipping and renovating pastures every third year including: 8 lbs. clover seed, 50 lbs. P2O5, 50 lbs. K20, 1 ton  lime and their application.  Soil test should be used to determine nutrient needs</t>
        </r>
      </text>
    </comment>
    <comment ref="A15" authorId="1" shapeId="0" xr:uid="{00000000-0006-0000-0400-000003000000}">
      <text>
        <r>
          <rPr>
            <sz val="8"/>
            <color indexed="81"/>
            <rFont val="Tahoma"/>
            <family val="2"/>
          </rPr>
          <t xml:space="preserve">Sufficient hay to take replacement heifer through 1 winter is assumed.  Price assumes use of good quality grass legume hay.
</t>
        </r>
      </text>
    </comment>
    <comment ref="A16" authorId="1" shapeId="0" xr:uid="{00000000-0006-0000-0400-000004000000}">
      <text>
        <r>
          <rPr>
            <sz val="8"/>
            <color indexed="81"/>
            <rFont val="Tahoma"/>
            <family val="2"/>
          </rPr>
          <t xml:space="preserve">It is assumed that corn is used as the grain supplement.  Soybean oil meal is fed during the first overwintering period only. If other feeds are used, the amount and price should be changed to reflect the use of alternative supplements.
</t>
        </r>
      </text>
    </comment>
    <comment ref="A18" authorId="1" shapeId="0" xr:uid="{00000000-0006-0000-0400-000005000000}">
      <text>
        <r>
          <rPr>
            <sz val="8"/>
            <color indexed="81"/>
            <rFont val="Tahoma"/>
            <family val="2"/>
          </rPr>
          <t xml:space="preserve">Use of a complete salt and mineral mix is assumed.
</t>
        </r>
      </text>
    </comment>
    <comment ref="A19" authorId="1" shapeId="0" xr:uid="{00000000-0006-0000-0400-000006000000}">
      <text>
        <r>
          <rPr>
            <sz val="8"/>
            <color indexed="81"/>
            <rFont val="Tahoma"/>
            <family val="2"/>
          </rPr>
          <t xml:space="preserve">Category includes the cost of pregnancy checking, deworming, vaccinations, ear tags, spraying, and any required first aid.
</t>
        </r>
      </text>
    </comment>
    <comment ref="A20" authorId="1" shapeId="0" xr:uid="{00000000-0006-0000-0400-000007000000}">
      <text>
        <r>
          <rPr>
            <sz val="8"/>
            <color indexed="81"/>
            <rFont val="Tahoma"/>
            <family val="2"/>
          </rPr>
          <t>Breeding cost is not charged here since it is reflected in cow herd budget.  If there are any extra breeding fees, they should be entered here.</t>
        </r>
      </text>
    </comment>
    <comment ref="A21" authorId="1" shapeId="0" xr:uid="{00000000-0006-0000-0400-000008000000}">
      <text>
        <r>
          <rPr>
            <sz val="8"/>
            <color indexed="81"/>
            <rFont val="Tahoma"/>
            <family val="2"/>
          </rPr>
          <t xml:space="preserve">Category includes the operating costs for fuel, repairs, and maintenance of machinery, equipment, and buildings used directly in the replacement heifer development operation.
</t>
        </r>
      </text>
    </comment>
    <comment ref="A22" authorId="1" shapeId="0" xr:uid="{00000000-0006-0000-0400-000009000000}">
      <text>
        <r>
          <rPr>
            <sz val="8"/>
            <color indexed="81"/>
            <rFont val="Tahoma"/>
            <family val="2"/>
          </rPr>
          <t xml:space="preserve">Category includes any other operating costs not otherwise specified such as any custom work or hired labor that is required.
</t>
        </r>
      </text>
    </comment>
    <comment ref="A23" authorId="1" shapeId="0" xr:uid="{00000000-0006-0000-0400-00000A000000}">
      <text>
        <r>
          <rPr>
            <sz val="8"/>
            <color indexed="81"/>
            <rFont val="Tahoma"/>
            <family val="2"/>
          </rPr>
          <t xml:space="preserve">Interest is charged on all variable costs for 12 months at the specified APR to cover the time between weaning and placement in cow herd.
</t>
        </r>
      </text>
    </comment>
    <comment ref="A30" authorId="1" shapeId="0" xr:uid="{00000000-0006-0000-0400-00000B000000}">
      <text>
        <r>
          <rPr>
            <sz val="8"/>
            <color indexed="81"/>
            <rFont val="Tahoma"/>
            <family val="2"/>
          </rPr>
          <t xml:space="preserve">Depreciation on machinery, equipment, buildings, fences, and other improvements.
</t>
        </r>
      </text>
    </comment>
    <comment ref="A31" authorId="1" shapeId="0" xr:uid="{00000000-0006-0000-0400-00000C000000}">
      <text>
        <r>
          <rPr>
            <sz val="8"/>
            <color indexed="81"/>
            <rFont val="Tahoma"/>
            <family val="2"/>
          </rPr>
          <t xml:space="preserve">Real estate tax and insurance on machinery, equipment, buildings, and other improvements.
</t>
        </r>
      </text>
    </comment>
    <comment ref="A32" authorId="1" shapeId="0" xr:uid="{00000000-0006-0000-0400-00000D000000}">
      <text>
        <r>
          <rPr>
            <sz val="8"/>
            <color indexed="81"/>
            <rFont val="Tahoma"/>
            <family val="2"/>
          </rPr>
          <t xml:space="preserve">Labor required is assumed to be supplied by operator and family.  If labor is hired, this should be entered as other expense and this item adjusted accordingly.  Does not include labor used in hay enterprise.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Stephanie Goode</author>
    <author>Richard Trimble</author>
  </authors>
  <commentList>
    <comment ref="A15" authorId="0" shapeId="0" xr:uid="{00000000-0006-0000-0500-000001000000}">
      <text>
        <r>
          <rPr>
            <sz val="8"/>
            <color indexed="81"/>
            <rFont val="Tahoma"/>
            <family val="2"/>
          </rPr>
          <t>It is important to adjust feed usages to reflect changes in animal weights and animal daily gain.</t>
        </r>
      </text>
    </comment>
    <comment ref="A33" authorId="1" shapeId="0" xr:uid="{00000000-0006-0000-0500-000002000000}">
      <text>
        <r>
          <rPr>
            <sz val="8"/>
            <color indexed="81"/>
            <rFont val="Tahoma"/>
            <family val="2"/>
          </rPr>
          <t>Death loss is calculated as percent of  calf purchase cost plus miscellaneous medical exspeses.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Stephanie Goode</author>
    <author>Richard Trimble</author>
  </authors>
  <commentList>
    <comment ref="A25" authorId="0" shapeId="0" xr:uid="{00000000-0006-0000-0600-000001000000}">
      <text>
        <r>
          <rPr>
            <sz val="8"/>
            <color indexed="81"/>
            <rFont val="Tahoma"/>
            <family val="2"/>
          </rPr>
          <t xml:space="preserve">Pasture maintenance covers operating costs of required annual clipping and renovating pastures every third year including: 8 lbs. clover seed, 50 lbs. P2O5, 50 lbs. K20, 1 ton  lime and their application.  Soil test should be used to determine nutrient needs
</t>
        </r>
      </text>
    </comment>
    <comment ref="A26" authorId="0" shapeId="0" xr:uid="{00000000-0006-0000-0600-000002000000}">
      <text>
        <r>
          <rPr>
            <sz val="8"/>
            <color indexed="81"/>
            <rFont val="Tahoma"/>
            <family val="2"/>
          </rPr>
          <t xml:space="preserve">Price assumes use of good quality grass legume hay.
</t>
        </r>
      </text>
    </comment>
    <comment ref="A27" authorId="0" shapeId="0" xr:uid="{00000000-0006-0000-0600-000003000000}">
      <text>
        <r>
          <rPr>
            <sz val="8"/>
            <color indexed="81"/>
            <rFont val="Tahoma"/>
            <family val="2"/>
          </rPr>
          <t xml:space="preserve">It is assumed that corn is used as the grain supplement.  If other feeds are used, the amount and price should be changed to reflect the use of an alternative supplement.
</t>
        </r>
      </text>
    </comment>
    <comment ref="A28" authorId="0" shapeId="0" xr:uid="{00000000-0006-0000-0600-000004000000}">
      <text>
        <r>
          <rPr>
            <sz val="8"/>
            <color indexed="81"/>
            <rFont val="Tahoma"/>
            <family val="2"/>
          </rPr>
          <t xml:space="preserve">Use of a complete salt and mineral mix is assumed.
</t>
        </r>
      </text>
    </comment>
    <comment ref="A29" authorId="0" shapeId="0" xr:uid="{00000000-0006-0000-0600-000005000000}">
      <text>
        <r>
          <rPr>
            <sz val="8"/>
            <color indexed="81"/>
            <rFont val="Tahoma"/>
            <family val="2"/>
          </rPr>
          <t xml:space="preserve">Category includes the cost of deworming, vaccinations, ear tags, spraying, and any required first aid.
</t>
        </r>
      </text>
    </comment>
    <comment ref="A30" authorId="0" shapeId="0" xr:uid="{00000000-0006-0000-0600-000006000000}">
      <text>
        <r>
          <rPr>
            <sz val="8"/>
            <color indexed="81"/>
            <rFont val="Tahoma"/>
            <family val="2"/>
          </rPr>
          <t xml:space="preserve">Cost of marketing is assumed to be $5.00 per head plus 2.5% of gross sale value of all animals sold.
</t>
        </r>
      </text>
    </comment>
    <comment ref="A31" authorId="0" shapeId="0" xr:uid="{00000000-0006-0000-0600-000007000000}">
      <text>
        <r>
          <rPr>
            <sz val="8"/>
            <color indexed="81"/>
            <rFont val="Tahoma"/>
            <family val="2"/>
          </rPr>
          <t xml:space="preserve">Category includes the operating costs for fuel, repairs, and  maintenance of machinery, equipment, and buildings used directly in the beef cow operation.
</t>
        </r>
      </text>
    </comment>
    <comment ref="A32" authorId="1" shapeId="0" xr:uid="{00000000-0006-0000-0600-000008000000}">
      <text>
        <r>
          <rPr>
            <sz val="8"/>
            <color indexed="81"/>
            <rFont val="Tahoma"/>
            <family val="2"/>
          </rPr>
          <t>Death loss is calculated as percent of  calf purchase cost plus veterinarian and medical expenses.</t>
        </r>
      </text>
    </comment>
  </commentList>
</comments>
</file>

<file path=xl/sharedStrings.xml><?xml version="1.0" encoding="utf-8"?>
<sst xmlns="http://schemas.openxmlformats.org/spreadsheetml/2006/main" count="378" uniqueCount="187">
  <si>
    <t>COMMERCIAL COW-CALF BUDGET, FALL CALVING HERD</t>
  </si>
  <si>
    <t>Projected Costs and Returns per Cow</t>
  </si>
  <si>
    <t/>
  </si>
  <si>
    <t>AMOUNT</t>
  </si>
  <si>
    <t>UNIT</t>
  </si>
  <si>
    <t>PRICE</t>
  </si>
  <si>
    <t>TOTAL</t>
  </si>
  <si>
    <t xml:space="preserve">  Calving Rate (live births/cow)</t>
  </si>
  <si>
    <t xml:space="preserve">  Death Rate (birth to market)</t>
  </si>
  <si>
    <t xml:space="preserve">  Cow Replacement Rate</t>
  </si>
  <si>
    <t xml:space="preserve">  Breeding Herd Death Rate</t>
  </si>
  <si>
    <t>Number</t>
  </si>
  <si>
    <t>Weight</t>
  </si>
  <si>
    <t>lb</t>
  </si>
  <si>
    <t>TOTAL RETURNS</t>
  </si>
  <si>
    <t>VARIABLE COSTS PER COW</t>
  </si>
  <si>
    <t>acre</t>
  </si>
  <si>
    <t>ton</t>
  </si>
  <si>
    <t>RETURN ABOVE VARIABLE COSTS PER COW</t>
  </si>
  <si>
    <t>BREAKEVEN PRICES PER POUND TO COVER VARIABLE COSTS:</t>
  </si>
  <si>
    <t xml:space="preserve">     Cull Cows =</t>
  </si>
  <si>
    <t xml:space="preserve"> Heifers =</t>
  </si>
  <si>
    <t xml:space="preserve">    Steers =</t>
  </si>
  <si>
    <t>FIXED COSTS PER COW</t>
  </si>
  <si>
    <t>BREAKEVEN PRICES PER POUND TO COVER ALL SPECIFIED COSTS:</t>
  </si>
  <si>
    <t xml:space="preserve">  Cull Cows =</t>
  </si>
  <si>
    <t xml:space="preserve">  Steers =</t>
  </si>
  <si>
    <t>RETURN TO LAND, CAPITAL, AND MANAGEMENT</t>
  </si>
  <si>
    <t xml:space="preserve"> Steer Calf</t>
  </si>
  <si>
    <t xml:space="preserve"> Heifer Calf</t>
  </si>
  <si>
    <t xml:space="preserve"> Cull Cow</t>
  </si>
  <si>
    <t xml:space="preserve">  Pasture Maintenance</t>
  </si>
  <si>
    <t xml:space="preserve">  Hay</t>
  </si>
  <si>
    <t xml:space="preserve">  Grain</t>
  </si>
  <si>
    <t xml:space="preserve">  Salt and Mineral</t>
  </si>
  <si>
    <t xml:space="preserve">  Vet and Medical</t>
  </si>
  <si>
    <t xml:space="preserve">  Marketing</t>
  </si>
  <si>
    <t xml:space="preserve">  Main of Replacement Heifer</t>
  </si>
  <si>
    <t xml:space="preserve">  Other</t>
  </si>
  <si>
    <t>head</t>
  </si>
  <si>
    <t>dollars</t>
  </si>
  <si>
    <t xml:space="preserve">  Depreciation</t>
  </si>
  <si>
    <t xml:space="preserve">  Taxes and Insurance</t>
  </si>
  <si>
    <t xml:space="preserve">  Operator / Family Labor</t>
  </si>
  <si>
    <t xml:space="preserve">  Breeding</t>
  </si>
  <si>
    <t>hours</t>
  </si>
  <si>
    <t>Expected Returns per Cow</t>
  </si>
  <si>
    <t>Total Variable Costs per Cow</t>
  </si>
  <si>
    <t>Total Cost per Cow</t>
  </si>
  <si>
    <t>COMMERCIAL COW-CALF BUDGET, SPRING CALVING HERD</t>
  </si>
  <si>
    <t>Cull Cows =</t>
  </si>
  <si>
    <t>Steers =</t>
  </si>
  <si>
    <t>Steer Calf</t>
  </si>
  <si>
    <t>Heifer Calf</t>
  </si>
  <si>
    <t>Cull Cow</t>
  </si>
  <si>
    <t>Pasture Maintenance</t>
  </si>
  <si>
    <t>Hay</t>
  </si>
  <si>
    <t>Grain</t>
  </si>
  <si>
    <t>Salt and Mineral</t>
  </si>
  <si>
    <t>Vet and Medical</t>
  </si>
  <si>
    <t>Breeding</t>
  </si>
  <si>
    <t>Marketing</t>
  </si>
  <si>
    <t>Main of Replacement Heifer</t>
  </si>
  <si>
    <t>Mach &amp; Equip (Fuel/Rep/Main)</t>
  </si>
  <si>
    <t>Other</t>
  </si>
  <si>
    <t>Depreciation</t>
  </si>
  <si>
    <t>Taxes and Insurance</t>
  </si>
  <si>
    <t>Operator / Family Labor</t>
  </si>
  <si>
    <t>Total Variable Costs Per Cow</t>
  </si>
  <si>
    <t>Total Fixed Cost per Cow</t>
  </si>
  <si>
    <t>Projected Costs and Returns per Head</t>
  </si>
  <si>
    <t>EXPECTED RETURNS PER HEAD</t>
  </si>
  <si>
    <t>N/A</t>
  </si>
  <si>
    <t>VARIABLE COSTS PER HEAD</t>
  </si>
  <si>
    <t>TOTAL VARIABLE COSTS PER HEAD</t>
  </si>
  <si>
    <t>RETURN ABOVE VARIABLE COSTS PER HEAD</t>
  </si>
  <si>
    <t>FIXED COSTS PER HEAD</t>
  </si>
  <si>
    <t>TOTAL FIXED COST PER HEAD</t>
  </si>
  <si>
    <t>TOTAL COST PER HEAD</t>
  </si>
  <si>
    <t xml:space="preserve">  Interest on Operating Capital</t>
  </si>
  <si>
    <t>Interest on Operating Capital</t>
  </si>
  <si>
    <t>Soybean Oil Meal</t>
  </si>
  <si>
    <t>Corn</t>
  </si>
  <si>
    <t>University of Kentucky</t>
  </si>
  <si>
    <t>Department of Agricultural Economics</t>
  </si>
  <si>
    <t xml:space="preserve">The purpose of these budgets is to serve as a management and decision-making guide for current and </t>
  </si>
  <si>
    <t>prospective producers of these enterprises.</t>
  </si>
  <si>
    <t xml:space="preserve">These budgets are not intended to replace a producer's own records and estimates.  </t>
  </si>
  <si>
    <t>In the absence of such data, however, these budgets can serve as a reasonably accurate cost and income guide.</t>
  </si>
  <si>
    <t xml:space="preserve">All of the blue numbers are input cells.  These are the numbers you can change.  Due to formulas, every cell  </t>
  </si>
  <si>
    <r>
      <t xml:space="preserve">Producers are </t>
    </r>
    <r>
      <rPr>
        <b/>
        <sz val="10"/>
        <rFont val="Arial"/>
        <family val="2"/>
      </rPr>
      <t>strongly</t>
    </r>
    <r>
      <rPr>
        <sz val="10"/>
        <rFont val="Arial"/>
        <family val="2"/>
      </rPr>
      <t xml:space="preserve"> encouraged to adapt these budgets to their specific situation.</t>
    </r>
  </si>
  <si>
    <t xml:space="preserve">This publication contains budgets for production of selected livestock enterprises in Kentucky.    </t>
  </si>
  <si>
    <t>Therefore, costs that are expressed on a per head basis have the quantity column fixed at 1 head.</t>
  </si>
  <si>
    <t xml:space="preserve">levels thought to be representative of typical producers in Kentucky given normal growing conditions and markets. This </t>
  </si>
  <si>
    <t>Alfalfa Hay</t>
  </si>
  <si>
    <t>Questions or Comments?</t>
  </si>
  <si>
    <r>
      <t xml:space="preserve">Users who desire to change budget formats or formulas must </t>
    </r>
    <r>
      <rPr>
        <u/>
        <sz val="10"/>
        <rFont val="Arial"/>
        <family val="2"/>
      </rPr>
      <t>remove sheet protection first</t>
    </r>
    <r>
      <rPr>
        <sz val="10"/>
        <rFont val="Arial"/>
        <family val="2"/>
      </rPr>
      <t>. The password to remove</t>
    </r>
  </si>
  <si>
    <r>
      <t xml:space="preserve">sheet protection is </t>
    </r>
    <r>
      <rPr>
        <b/>
        <sz val="10"/>
        <rFont val="Arial"/>
        <family val="2"/>
      </rPr>
      <t>uk</t>
    </r>
    <r>
      <rPr>
        <b/>
        <sz val="10"/>
        <color indexed="12"/>
        <rFont val="Arial"/>
        <family val="2"/>
      </rPr>
      <t xml:space="preserve"> .</t>
    </r>
  </si>
  <si>
    <t xml:space="preserve">REPLACEMENT BEEF HEIFER GROWTH AND MAINTENANCE </t>
  </si>
  <si>
    <t>The budgets are listed on the Table of Contents page. There are instructions for navigating between budgets on</t>
  </si>
  <si>
    <t>that page.</t>
  </si>
  <si>
    <t>situation.</t>
  </si>
  <si>
    <t>BUDGET</t>
  </si>
  <si>
    <t xml:space="preserve">STEER BACKGROUNDING BUDGET  </t>
  </si>
  <si>
    <t>Silage &amp;</t>
  </si>
  <si>
    <t>Protein</t>
  </si>
  <si>
    <t>(limited)</t>
  </si>
  <si>
    <t>(full feed)</t>
  </si>
  <si>
    <t>Average Daily Gain (lbs)</t>
  </si>
  <si>
    <t>Purch. Weight (lbs)</t>
  </si>
  <si>
    <t>Sales Weight (lbs)</t>
  </si>
  <si>
    <t>Days in Program</t>
  </si>
  <si>
    <t>RATIONS AND FEED USES</t>
  </si>
  <si>
    <t>Feed/day (lbs)</t>
  </si>
  <si>
    <t>Mixed Hay</t>
  </si>
  <si>
    <t>Silage</t>
  </si>
  <si>
    <t>Soybean meal</t>
  </si>
  <si>
    <t>PRICES:</t>
  </si>
  <si>
    <t xml:space="preserve">    COST FOR WEIGHT GAINED</t>
  </si>
  <si>
    <t>Misc/day (hay)</t>
  </si>
  <si>
    <t>Misc/day (silage)</t>
  </si>
  <si>
    <t>Misc/head (med, imp.etc.)</t>
  </si>
  <si>
    <t>Interest (calf)</t>
  </si>
  <si>
    <t>Death Loss (%)</t>
  </si>
  <si>
    <t>Feed Cost per Day</t>
  </si>
  <si>
    <t>Feed Cost - Total</t>
  </si>
  <si>
    <t>Feed Cost/lb gain</t>
  </si>
  <si>
    <t>TOTAL COST</t>
  </si>
  <si>
    <t>Non-calf costs</t>
  </si>
  <si>
    <t>Cash Costs (feed,misc)</t>
  </si>
  <si>
    <t>All cash costs</t>
  </si>
  <si>
    <t>COST / POUND OF GAIN</t>
  </si>
  <si>
    <t>SELLING PRICE</t>
  </si>
  <si>
    <t>Returns over listed expenses:</t>
  </si>
  <si>
    <t>Breakeven</t>
  </si>
  <si>
    <t>Cash cost breakeven</t>
  </si>
  <si>
    <t>Buy Date:</t>
  </si>
  <si>
    <t>Sell Date:</t>
  </si>
  <si>
    <t>lbs</t>
  </si>
  <si>
    <t>days</t>
  </si>
  <si>
    <t>acres</t>
  </si>
  <si>
    <t>VARIABLE COSTS</t>
  </si>
  <si>
    <t>TOTAL VARIABLE COSTS:</t>
  </si>
  <si>
    <t xml:space="preserve">Avg. Daily Gain    </t>
  </si>
  <si>
    <t xml:space="preserve">Days in program    </t>
  </si>
  <si>
    <t xml:space="preserve">Sale Weight    </t>
  </si>
  <si>
    <t xml:space="preserve">Weight Gain    </t>
  </si>
  <si>
    <t xml:space="preserve">Death Loss    </t>
  </si>
  <si>
    <t xml:space="preserve">Number of Cattle    </t>
  </si>
  <si>
    <t xml:space="preserve">Pasture-acres used    </t>
  </si>
  <si>
    <t xml:space="preserve">Stocking Rate   </t>
  </si>
  <si>
    <t>SBM</t>
  </si>
  <si>
    <t xml:space="preserve"> Mach &amp; Equip (Fuel/Rep/Main)</t>
  </si>
  <si>
    <t>HERD TOTAL</t>
  </si>
  <si>
    <t>FIXED COSTS</t>
  </si>
  <si>
    <t>Operator/Family Labor</t>
  </si>
  <si>
    <t>TOTAL FIXED COSTS</t>
  </si>
  <si>
    <t>Expected Returms</t>
  </si>
  <si>
    <t>RETURN ABOVE VARIABLE COSTS</t>
  </si>
  <si>
    <t>Breakeven Price to cover all costs</t>
  </si>
  <si>
    <t>Breakeven Price to cover variable costs</t>
  </si>
  <si>
    <t>Death Loss Expense</t>
  </si>
  <si>
    <t>Purchase of  Feeder Calf</t>
  </si>
  <si>
    <t>Feeder Calf</t>
  </si>
  <si>
    <t>Taxes/Insurance</t>
  </si>
  <si>
    <t>ac/hd</t>
  </si>
  <si>
    <t>SUMMER GRAZING BUDGET</t>
  </si>
  <si>
    <t>These budget estimates are based on input cost information and livestock price projections available</t>
  </si>
  <si>
    <t xml:space="preserve">Richard Trimble  Kenneth Burdine  Greg Halich  </t>
  </si>
  <si>
    <t xml:space="preserve">Lee Meyer      Steve Isaacs     </t>
  </si>
  <si>
    <t>Beef Enterprise Budgets</t>
  </si>
  <si>
    <t xml:space="preserve">publication allows producers to change prices and quantities for easy adaptation of the budgets to their own farming </t>
  </si>
  <si>
    <r>
      <t xml:space="preserve">cannot be manipulated.  Also, remember that enterprise budgets are calculated on a </t>
    </r>
    <r>
      <rPr>
        <b/>
        <sz val="10"/>
        <rFont val="Arial"/>
        <family val="2"/>
      </rPr>
      <t xml:space="preserve">per head </t>
    </r>
    <r>
      <rPr>
        <sz val="10"/>
        <rFont val="Arial"/>
        <family val="2"/>
      </rPr>
      <t>basis.</t>
    </r>
  </si>
  <si>
    <t xml:space="preserve">Projected Costs and Returns per Calf and Herd Total   </t>
  </si>
  <si>
    <t>Projected Costs and Returns per Steer,</t>
  </si>
  <si>
    <t>Various Feeding Programs</t>
  </si>
  <si>
    <t>Corn &amp; Hay</t>
  </si>
  <si>
    <t>Weaning to 18 Months of Age</t>
  </si>
  <si>
    <t>Stocker calf</t>
  </si>
  <si>
    <t>PER CALF</t>
  </si>
  <si>
    <t>Kenny Burdine</t>
  </si>
  <si>
    <t>kburdine@uky.edu</t>
  </si>
  <si>
    <t>415 Charles E. Barnhart Building</t>
  </si>
  <si>
    <t>Lexington, KY 40546-0276</t>
  </si>
  <si>
    <t>Phone: (859) 257-7273</t>
  </si>
  <si>
    <t xml:space="preserve">at the time of release.  Further, costs and returns are based on production practices and yield </t>
  </si>
  <si>
    <t>Educational programs of Kentucky Cooperative Extension serve all people regardless of economic or social status and will not discriminate on the basis of race, color, ethnic origin, national origin, creed, religion, political belief, sex, sexual orientation, gender identity, gender expression, pregnancy, marital status, genetic information, age, veteran status, physical or mental disability or reprisal or retaliation for prior civil rights activity. Reasonable accommodation of disability may be available with prior notice. Program information may be available in languages other than English. University of Kentucky, Kentucky State University, U.S. Department of Agriculture, and Kentucky Counties, Cooperating.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</si>
</sst>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164" formatCode="&quot;$&quot;#,##0.00"/>
    <numFmt numFmtId="165" formatCode="0.0"/>
    <numFmt numFmtId="166" formatCode="0.000"/>
    <numFmt numFmtId="167" formatCode="0.0%"/>
    <numFmt numFmtId="168" formatCode="&quot;$&quot;#,##0.00;[Red]&quot;$&quot;#,##0.00"/>
    <numFmt numFmtId="169" formatCode="m/d/yy"/>
    <numFmt numFmtId="170" formatCode="m/d/yy;@"/>
    <numFmt numFmtId="171" formatCode="&quot;$&quot;#,##0"/>
  </numFmts>
  <fonts count="18" x14ac:knownFonts="1">
    <font>
      <sz val="10"/>
      <name val="Arial"/>
    </font>
    <font>
      <sz val="10"/>
      <name val="Arial"/>
      <family val="2"/>
    </font>
    <font>
      <b/>
      <sz val="10"/>
      <name val="Arial"/>
      <family val="2"/>
    </font>
    <font>
      <b/>
      <i/>
      <sz val="10"/>
      <name val="Arial"/>
      <family val="2"/>
    </font>
    <font>
      <b/>
      <sz val="10"/>
      <color indexed="12"/>
      <name val="Arial"/>
      <family val="2"/>
    </font>
    <font>
      <sz val="8"/>
      <color indexed="81"/>
      <name val="Tahoma"/>
      <family val="2"/>
    </font>
    <font>
      <b/>
      <sz val="10"/>
      <name val="Arial"/>
      <family val="2"/>
    </font>
    <font>
      <sz val="12"/>
      <name val="Arial"/>
      <family val="2"/>
    </font>
    <font>
      <b/>
      <sz val="12"/>
      <name val="Arial"/>
      <family val="2"/>
    </font>
    <font>
      <sz val="10"/>
      <name val="Arial"/>
      <family val="2"/>
    </font>
    <font>
      <u/>
      <sz val="10"/>
      <color indexed="12"/>
      <name val="Arial"/>
      <family val="2"/>
    </font>
    <font>
      <u/>
      <sz val="10"/>
      <name val="Arial"/>
      <family val="2"/>
    </font>
    <font>
      <sz val="10"/>
      <name val="Arial"/>
      <family val="2"/>
    </font>
    <font>
      <b/>
      <sz val="11"/>
      <name val="Arial"/>
      <family val="2"/>
    </font>
    <font>
      <b/>
      <sz val="16"/>
      <color rgb="FF0033A0"/>
      <name val="Arial"/>
      <family val="2"/>
    </font>
    <font>
      <b/>
      <sz val="10"/>
      <color rgb="FF0033A0"/>
      <name val="Arial"/>
      <family val="2"/>
    </font>
    <font>
      <sz val="10"/>
      <color rgb="FF0033A0"/>
      <name val="Arial"/>
      <family val="2"/>
    </font>
    <font>
      <sz val="10"/>
      <name val="Arial"/>
      <family val="2"/>
    </font>
  </fonts>
  <fills count="9">
    <fill>
      <patternFill patternType="none"/>
    </fill>
    <fill>
      <patternFill patternType="gray125"/>
    </fill>
    <fill>
      <patternFill patternType="solid">
        <fgColor indexed="9"/>
        <bgColor indexed="64"/>
      </patternFill>
    </fill>
    <fill>
      <patternFill patternType="solid">
        <fgColor indexed="22"/>
        <bgColor indexed="22"/>
      </patternFill>
    </fill>
    <fill>
      <patternFill patternType="solid">
        <fgColor indexed="9"/>
        <bgColor indexed="22"/>
      </patternFill>
    </fill>
    <fill>
      <patternFill patternType="solid">
        <fgColor indexed="22"/>
        <bgColor indexed="64"/>
      </patternFill>
    </fill>
    <fill>
      <patternFill patternType="solid">
        <fgColor rgb="FFB1C9E8"/>
        <bgColor indexed="64"/>
      </patternFill>
    </fill>
    <fill>
      <patternFill patternType="solid">
        <fgColor rgb="FF1B365D"/>
        <bgColor indexed="64"/>
      </patternFill>
    </fill>
    <fill>
      <patternFill patternType="solid">
        <fgColor rgb="FF1B365D"/>
        <bgColor indexed="9"/>
      </patternFill>
    </fill>
  </fills>
  <borders count="8">
    <border>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s>
  <cellStyleXfs count="4">
    <xf numFmtId="0" fontId="0" fillId="0" borderId="0"/>
    <xf numFmtId="44" fontId="12" fillId="0" borderId="0" applyFont="0" applyFill="0" applyBorder="0" applyAlignment="0" applyProtection="0"/>
    <xf numFmtId="0" fontId="10" fillId="0" borderId="0" applyNumberFormat="0" applyFill="0" applyBorder="0" applyAlignment="0" applyProtection="0">
      <alignment vertical="top"/>
      <protection locked="0"/>
    </xf>
    <xf numFmtId="9" fontId="17" fillId="0" borderId="0" applyFont="0" applyFill="0" applyBorder="0" applyAlignment="0" applyProtection="0"/>
  </cellStyleXfs>
  <cellXfs count="147">
    <xf numFmtId="0" fontId="0" fillId="0" borderId="0" xfId="0"/>
    <xf numFmtId="0" fontId="2" fillId="0" borderId="0" xfId="0" applyFont="1"/>
    <xf numFmtId="0" fontId="2" fillId="0" borderId="0" xfId="0" applyFont="1" applyAlignment="1">
      <alignment horizontal="right"/>
    </xf>
    <xf numFmtId="0" fontId="0" fillId="0" borderId="0" xfId="0" applyAlignment="1">
      <alignment horizontal="right"/>
    </xf>
    <xf numFmtId="164" fontId="0" fillId="0" borderId="0" xfId="0" applyNumberFormat="1"/>
    <xf numFmtId="2" fontId="0" fillId="0" borderId="0" xfId="0" applyNumberFormat="1"/>
    <xf numFmtId="165" fontId="0" fillId="0" borderId="0" xfId="0" applyNumberFormat="1"/>
    <xf numFmtId="0" fontId="1" fillId="0" borderId="0" xfId="0" applyFont="1" applyAlignment="1">
      <alignment readingOrder="1"/>
    </xf>
    <xf numFmtId="166" fontId="0" fillId="0" borderId="0" xfId="0" applyNumberFormat="1"/>
    <xf numFmtId="167" fontId="0" fillId="0" borderId="0" xfId="0" applyNumberFormat="1"/>
    <xf numFmtId="165" fontId="0" fillId="0" borderId="0" xfId="0" applyNumberFormat="1" applyAlignment="1">
      <alignment horizontal="right"/>
    </xf>
    <xf numFmtId="164" fontId="0" fillId="0" borderId="0" xfId="0" applyNumberFormat="1" applyAlignment="1">
      <alignment horizontal="right"/>
    </xf>
    <xf numFmtId="2" fontId="0" fillId="0" borderId="0" xfId="0" applyNumberFormat="1" applyAlignment="1">
      <alignment horizontal="right"/>
    </xf>
    <xf numFmtId="0" fontId="0" fillId="0" borderId="0" xfId="0" applyAlignment="1">
      <alignment horizontal="left"/>
    </xf>
    <xf numFmtId="7" fontId="0" fillId="0" borderId="0" xfId="0" applyNumberFormat="1"/>
    <xf numFmtId="0" fontId="7" fillId="0" borderId="0" xfId="0" applyFont="1"/>
    <xf numFmtId="0" fontId="2" fillId="0" borderId="0" xfId="0" applyFont="1" applyAlignment="1">
      <alignment horizontal="center"/>
    </xf>
    <xf numFmtId="0" fontId="9" fillId="0" borderId="0" xfId="0" applyFont="1"/>
    <xf numFmtId="0" fontId="0" fillId="0" borderId="0" xfId="0" applyAlignment="1">
      <alignment horizontal="center"/>
    </xf>
    <xf numFmtId="0" fontId="2" fillId="0" borderId="0" xfId="0" applyFont="1" applyAlignment="1">
      <alignment horizontal="left"/>
    </xf>
    <xf numFmtId="0" fontId="3" fillId="0" borderId="0" xfId="0" applyFont="1"/>
    <xf numFmtId="0" fontId="9" fillId="0" borderId="0" xfId="0" applyFont="1" applyAlignment="1">
      <alignment horizontal="center"/>
    </xf>
    <xf numFmtId="168" fontId="0" fillId="0" borderId="0" xfId="0" applyNumberFormat="1"/>
    <xf numFmtId="168" fontId="0" fillId="0" borderId="0" xfId="0" applyNumberFormat="1" applyAlignment="1">
      <alignment horizontal="right"/>
    </xf>
    <xf numFmtId="0" fontId="0" fillId="3" borderId="0" xfId="0" applyFill="1"/>
    <xf numFmtId="0" fontId="0" fillId="4" borderId="0" xfId="0" applyFill="1"/>
    <xf numFmtId="0" fontId="8" fillId="4" borderId="0" xfId="0" applyFont="1" applyFill="1"/>
    <xf numFmtId="165" fontId="4" fillId="0" borderId="0" xfId="0" applyNumberFormat="1" applyFont="1" applyAlignment="1">
      <alignment horizontal="center"/>
    </xf>
    <xf numFmtId="165" fontId="0" fillId="0" borderId="0" xfId="0" applyNumberFormat="1" applyAlignment="1">
      <alignment horizontal="center"/>
    </xf>
    <xf numFmtId="1" fontId="0" fillId="0" borderId="0" xfId="0" applyNumberFormat="1" applyAlignment="1">
      <alignment horizontal="center"/>
    </xf>
    <xf numFmtId="168" fontId="4" fillId="0" borderId="0" xfId="0" applyNumberFormat="1" applyFont="1" applyAlignment="1">
      <alignment horizontal="right"/>
    </xf>
    <xf numFmtId="0" fontId="4" fillId="0" borderId="0" xfId="0" applyFont="1" applyAlignment="1">
      <alignment horizontal="left"/>
    </xf>
    <xf numFmtId="168" fontId="0" fillId="0" borderId="0" xfId="0" applyNumberFormat="1" applyAlignment="1">
      <alignment horizontal="left"/>
    </xf>
    <xf numFmtId="168" fontId="4" fillId="0" borderId="0" xfId="0" applyNumberFormat="1" applyFont="1"/>
    <xf numFmtId="37" fontId="0" fillId="0" borderId="0" xfId="0" applyNumberFormat="1" applyAlignment="1">
      <alignment horizontal="center"/>
    </xf>
    <xf numFmtId="168" fontId="4" fillId="0" borderId="0" xfId="0" applyNumberFormat="1" applyFont="1" applyAlignment="1">
      <alignment horizontal="center"/>
    </xf>
    <xf numFmtId="171" fontId="0" fillId="5" borderId="0" xfId="0" applyNumberFormat="1" applyFill="1" applyAlignment="1">
      <alignment horizontal="center"/>
    </xf>
    <xf numFmtId="171" fontId="0" fillId="0" borderId="0" xfId="0" applyNumberFormat="1"/>
    <xf numFmtId="171" fontId="2" fillId="5" borderId="0" xfId="0" applyNumberFormat="1" applyFont="1" applyFill="1" applyAlignment="1">
      <alignment horizontal="center"/>
    </xf>
    <xf numFmtId="171" fontId="0" fillId="5" borderId="0" xfId="0" applyNumberFormat="1" applyFill="1"/>
    <xf numFmtId="171" fontId="3" fillId="0" borderId="0" xfId="0" applyNumberFormat="1" applyFont="1"/>
    <xf numFmtId="164" fontId="9" fillId="0" borderId="0" xfId="0" applyNumberFormat="1" applyFont="1" applyAlignment="1">
      <alignment horizontal="right"/>
    </xf>
    <xf numFmtId="164" fontId="1" fillId="0" borderId="0" xfId="0" applyNumberFormat="1" applyFont="1" applyAlignment="1">
      <alignment horizontal="right"/>
    </xf>
    <xf numFmtId="164" fontId="1" fillId="0" borderId="0" xfId="0" applyNumberFormat="1" applyFont="1"/>
    <xf numFmtId="0" fontId="8" fillId="0" borderId="0" xfId="0" applyFont="1"/>
    <xf numFmtId="0" fontId="13" fillId="0" borderId="0" xfId="0" applyFont="1"/>
    <xf numFmtId="0" fontId="13" fillId="4" borderId="0" xfId="0" applyFont="1" applyFill="1"/>
    <xf numFmtId="0" fontId="13" fillId="0" borderId="0" xfId="0" applyFont="1" applyAlignment="1">
      <alignment readingOrder="1"/>
    </xf>
    <xf numFmtId="0" fontId="2" fillId="0" borderId="0" xfId="0" applyFont="1" applyAlignment="1">
      <alignment readingOrder="1"/>
    </xf>
    <xf numFmtId="0" fontId="13" fillId="0" borderId="0" xfId="0" applyFont="1" applyAlignment="1">
      <alignment horizontal="center"/>
    </xf>
    <xf numFmtId="164" fontId="1" fillId="0" borderId="0" xfId="0" applyNumberFormat="1" applyFont="1" applyAlignment="1">
      <alignment horizontal="center"/>
    </xf>
    <xf numFmtId="0" fontId="1" fillId="0" borderId="0" xfId="0" applyFont="1" applyAlignment="1">
      <alignment horizontal="center"/>
    </xf>
    <xf numFmtId="0" fontId="1" fillId="0" borderId="0" xfId="0" applyFont="1"/>
    <xf numFmtId="0" fontId="1" fillId="0" borderId="0" xfId="0" applyFont="1" applyAlignment="1">
      <alignment horizontal="left"/>
    </xf>
    <xf numFmtId="171" fontId="0" fillId="5" borderId="0" xfId="0" applyNumberFormat="1" applyFill="1" applyAlignment="1">
      <alignment horizontal="right"/>
    </xf>
    <xf numFmtId="171" fontId="9" fillId="5" borderId="0" xfId="0" applyNumberFormat="1" applyFont="1" applyFill="1" applyAlignment="1">
      <alignment horizontal="right"/>
    </xf>
    <xf numFmtId="2" fontId="0" fillId="0" borderId="0" xfId="0" applyNumberFormat="1" applyAlignment="1" applyProtection="1">
      <alignment horizontal="right"/>
      <protection locked="0"/>
    </xf>
    <xf numFmtId="0" fontId="3" fillId="0" borderId="0" xfId="0" applyFont="1" applyAlignment="1">
      <alignment horizontal="center"/>
    </xf>
    <xf numFmtId="0" fontId="3" fillId="2" borderId="0" xfId="0" applyFont="1" applyFill="1" applyAlignment="1">
      <alignment horizontal="center"/>
    </xf>
    <xf numFmtId="167" fontId="15" fillId="0" borderId="0" xfId="0" applyNumberFormat="1" applyFont="1" applyProtection="1">
      <protection locked="0"/>
    </xf>
    <xf numFmtId="165" fontId="15" fillId="0" borderId="0" xfId="0" applyNumberFormat="1" applyFont="1" applyProtection="1">
      <protection locked="0"/>
    </xf>
    <xf numFmtId="164" fontId="15" fillId="0" borderId="0" xfId="0" applyNumberFormat="1" applyFont="1" applyAlignment="1" applyProtection="1">
      <alignment horizontal="right"/>
      <protection locked="0"/>
    </xf>
    <xf numFmtId="165" fontId="15" fillId="0" borderId="0" xfId="0" applyNumberFormat="1" applyFont="1" applyAlignment="1" applyProtection="1">
      <alignment horizontal="right"/>
      <protection locked="0"/>
    </xf>
    <xf numFmtId="167" fontId="15" fillId="0" borderId="0" xfId="0" applyNumberFormat="1" applyFont="1" applyAlignment="1" applyProtection="1">
      <alignment horizontal="right"/>
      <protection locked="0"/>
    </xf>
    <xf numFmtId="0" fontId="15" fillId="0" borderId="0" xfId="0" applyFont="1" applyAlignment="1" applyProtection="1">
      <alignment horizontal="left"/>
      <protection locked="0"/>
    </xf>
    <xf numFmtId="0" fontId="2" fillId="6" borderId="4" xfId="0" applyFont="1" applyFill="1" applyBorder="1" applyAlignment="1">
      <alignment horizontal="left"/>
    </xf>
    <xf numFmtId="0" fontId="2" fillId="6" borderId="5" xfId="0" applyFont="1" applyFill="1" applyBorder="1" applyAlignment="1">
      <alignment horizontal="left"/>
    </xf>
    <xf numFmtId="0" fontId="2" fillId="6" borderId="6" xfId="0" applyFont="1" applyFill="1" applyBorder="1" applyAlignment="1">
      <alignment horizontal="left"/>
    </xf>
    <xf numFmtId="0" fontId="0" fillId="6" borderId="2" xfId="0" applyFill="1" applyBorder="1"/>
    <xf numFmtId="0" fontId="0" fillId="6" borderId="1" xfId="0" applyFill="1" applyBorder="1"/>
    <xf numFmtId="164" fontId="0" fillId="6" borderId="1" xfId="0" applyNumberFormat="1" applyFill="1" applyBorder="1" applyAlignment="1">
      <alignment horizontal="left"/>
    </xf>
    <xf numFmtId="0" fontId="0" fillId="6" borderId="1" xfId="0" applyFill="1" applyBorder="1" applyAlignment="1">
      <alignment horizontal="right"/>
    </xf>
    <xf numFmtId="0" fontId="0" fillId="6" borderId="1" xfId="0" applyFill="1" applyBorder="1" applyAlignment="1">
      <alignment horizontal="center"/>
    </xf>
    <xf numFmtId="164" fontId="0" fillId="6" borderId="3" xfId="0" applyNumberFormat="1" applyFill="1" applyBorder="1" applyAlignment="1">
      <alignment horizontal="left"/>
    </xf>
    <xf numFmtId="0" fontId="0" fillId="6" borderId="2" xfId="0" applyFill="1" applyBorder="1" applyAlignment="1">
      <alignment horizontal="left"/>
    </xf>
    <xf numFmtId="0" fontId="0" fillId="6" borderId="1" xfId="0" applyFill="1" applyBorder="1" applyAlignment="1">
      <alignment horizontal="left"/>
    </xf>
    <xf numFmtId="167" fontId="15" fillId="0" borderId="0" xfId="0" applyNumberFormat="1" applyFont="1"/>
    <xf numFmtId="165" fontId="15" fillId="0" borderId="0" xfId="0" applyNumberFormat="1" applyFont="1" applyAlignment="1">
      <alignment horizontal="right"/>
    </xf>
    <xf numFmtId="164" fontId="15" fillId="0" borderId="0" xfId="0" applyNumberFormat="1" applyFont="1" applyAlignment="1">
      <alignment horizontal="center"/>
    </xf>
    <xf numFmtId="0" fontId="15" fillId="0" borderId="0" xfId="0" applyFont="1" applyAlignment="1">
      <alignment horizontal="left"/>
    </xf>
    <xf numFmtId="165" fontId="15" fillId="0" borderId="0" xfId="0" applyNumberFormat="1" applyFont="1"/>
    <xf numFmtId="164" fontId="15" fillId="0" borderId="0" xfId="0" applyNumberFormat="1" applyFont="1"/>
    <xf numFmtId="164" fontId="0" fillId="6" borderId="1" xfId="0" applyNumberFormat="1" applyFill="1" applyBorder="1" applyAlignment="1">
      <alignment horizontal="center"/>
    </xf>
    <xf numFmtId="0" fontId="0" fillId="6" borderId="3" xfId="0" applyFill="1" applyBorder="1"/>
    <xf numFmtId="0" fontId="0" fillId="6" borderId="2" xfId="0" applyFill="1" applyBorder="1" applyAlignment="1">
      <alignment horizontal="right"/>
    </xf>
    <xf numFmtId="164" fontId="15" fillId="0" borderId="0" xfId="0" applyNumberFormat="1" applyFont="1" applyAlignment="1">
      <alignment horizontal="right"/>
    </xf>
    <xf numFmtId="167" fontId="15" fillId="0" borderId="0" xfId="0" applyNumberFormat="1" applyFont="1" applyAlignment="1">
      <alignment horizontal="right"/>
    </xf>
    <xf numFmtId="0" fontId="15" fillId="0" borderId="0" xfId="0" applyFont="1"/>
    <xf numFmtId="0" fontId="15" fillId="0" borderId="0" xfId="0" applyFont="1" applyAlignment="1">
      <alignment horizontal="center"/>
    </xf>
    <xf numFmtId="165" fontId="15" fillId="0" borderId="0" xfId="0" applyNumberFormat="1" applyFont="1" applyAlignment="1">
      <alignment horizontal="center"/>
    </xf>
    <xf numFmtId="164" fontId="15" fillId="3" borderId="0" xfId="0" applyNumberFormat="1" applyFont="1" applyFill="1"/>
    <xf numFmtId="10" fontId="15" fillId="3" borderId="0" xfId="0" applyNumberFormat="1" applyFont="1" applyFill="1"/>
    <xf numFmtId="169" fontId="15" fillId="0" borderId="0" xfId="0" applyNumberFormat="1" applyFont="1" applyAlignment="1">
      <alignment horizontal="left"/>
    </xf>
    <xf numFmtId="170" fontId="15" fillId="0" borderId="0" xfId="0" applyNumberFormat="1" applyFont="1" applyAlignment="1">
      <alignment horizontal="center"/>
    </xf>
    <xf numFmtId="167" fontId="15" fillId="0" borderId="0" xfId="0" applyNumberFormat="1" applyFont="1" applyAlignment="1">
      <alignment horizontal="center"/>
    </xf>
    <xf numFmtId="164" fontId="15" fillId="0" borderId="0" xfId="1" applyNumberFormat="1" applyFont="1" applyFill="1" applyAlignment="1">
      <alignment horizontal="center"/>
    </xf>
    <xf numFmtId="0" fontId="15" fillId="0" borderId="0" xfId="0" applyFont="1" applyAlignment="1">
      <alignment horizontal="right"/>
    </xf>
    <xf numFmtId="0" fontId="16" fillId="0" borderId="0" xfId="0" applyFont="1" applyAlignment="1">
      <alignment horizontal="right"/>
    </xf>
    <xf numFmtId="0" fontId="0" fillId="6" borderId="4" xfId="0" applyFill="1" applyBorder="1"/>
    <xf numFmtId="0" fontId="3" fillId="6" borderId="5" xfId="0" applyFont="1" applyFill="1" applyBorder="1"/>
    <xf numFmtId="0" fontId="0" fillId="6" borderId="5" xfId="0" applyFill="1" applyBorder="1"/>
    <xf numFmtId="164" fontId="9" fillId="6" borderId="6" xfId="0" applyNumberFormat="1" applyFont="1" applyFill="1" applyBorder="1"/>
    <xf numFmtId="164" fontId="0" fillId="6" borderId="3" xfId="0" applyNumberFormat="1" applyFill="1" applyBorder="1"/>
    <xf numFmtId="0" fontId="0" fillId="7" borderId="7" xfId="0" applyFill="1" applyBorder="1" applyAlignment="1">
      <alignment horizontal="center"/>
    </xf>
    <xf numFmtId="0" fontId="2" fillId="7" borderId="7" xfId="0" applyFont="1" applyFill="1" applyBorder="1" applyAlignment="1">
      <alignment horizontal="center"/>
    </xf>
    <xf numFmtId="0" fontId="2" fillId="3" borderId="0" xfId="0" applyFont="1" applyFill="1" applyAlignment="1">
      <alignment horizontal="left"/>
    </xf>
    <xf numFmtId="0" fontId="0" fillId="8" borderId="7" xfId="0" applyFill="1" applyBorder="1" applyAlignment="1">
      <alignment horizontal="center"/>
    </xf>
    <xf numFmtId="0" fontId="0" fillId="8" borderId="0" xfId="0" applyFill="1" applyAlignment="1">
      <alignment horizontal="center"/>
    </xf>
    <xf numFmtId="0" fontId="0" fillId="7" borderId="0" xfId="0" applyFill="1"/>
    <xf numFmtId="0" fontId="0" fillId="7" borderId="0" xfId="0" applyFill="1" applyAlignment="1">
      <alignment horizontal="center"/>
    </xf>
    <xf numFmtId="0" fontId="2" fillId="8" borderId="0" xfId="0" applyFont="1" applyFill="1"/>
    <xf numFmtId="8" fontId="0" fillId="0" borderId="0" xfId="0" applyNumberFormat="1"/>
    <xf numFmtId="8" fontId="0" fillId="3" borderId="0" xfId="0" applyNumberFormat="1" applyFill="1"/>
    <xf numFmtId="8" fontId="0" fillId="0" borderId="0" xfId="0" applyNumberFormat="1" applyAlignment="1">
      <alignment horizontal="right"/>
    </xf>
    <xf numFmtId="8" fontId="15" fillId="0" borderId="0" xfId="0" applyNumberFormat="1" applyFont="1" applyAlignment="1">
      <alignment horizontal="right"/>
    </xf>
    <xf numFmtId="8" fontId="15" fillId="0" borderId="0" xfId="0" applyNumberFormat="1" applyFont="1" applyAlignment="1">
      <alignment horizontal="center"/>
    </xf>
    <xf numFmtId="167" fontId="15" fillId="3" borderId="0" xfId="3" applyNumberFormat="1" applyFont="1" applyFill="1"/>
    <xf numFmtId="0" fontId="0" fillId="0" borderId="0" xfId="0" applyAlignment="1">
      <alignment horizontal="left"/>
    </xf>
    <xf numFmtId="0" fontId="0" fillId="0" borderId="0" xfId="0" applyAlignment="1">
      <alignment horizontal="center"/>
    </xf>
    <xf numFmtId="0" fontId="1" fillId="0" borderId="0" xfId="0" applyFont="1" applyAlignment="1">
      <alignment horizontal="left"/>
    </xf>
    <xf numFmtId="0" fontId="9" fillId="0" borderId="0" xfId="0" applyFont="1" applyAlignment="1">
      <alignment horizontal="left"/>
    </xf>
    <xf numFmtId="0" fontId="14" fillId="0" borderId="0" xfId="0" applyFont="1" applyAlignment="1">
      <alignment horizontal="center"/>
    </xf>
    <xf numFmtId="0" fontId="0" fillId="2" borderId="0" xfId="0" applyFill="1" applyAlignment="1">
      <alignment horizontal="center"/>
    </xf>
    <xf numFmtId="0" fontId="1" fillId="2" borderId="0" xfId="0" applyFont="1" applyFill="1" applyAlignment="1">
      <alignment horizontal="center"/>
    </xf>
    <xf numFmtId="0" fontId="7" fillId="0" borderId="0" xfId="0" applyFont="1" applyAlignment="1">
      <alignment horizontal="center"/>
    </xf>
    <xf numFmtId="0" fontId="3" fillId="0" borderId="0" xfId="0" applyFont="1" applyAlignment="1">
      <alignment horizontal="center"/>
    </xf>
    <xf numFmtId="49" fontId="9" fillId="0" borderId="0" xfId="0" applyNumberFormat="1" applyFont="1" applyAlignment="1">
      <alignment horizontal="left" readingOrder="1"/>
    </xf>
    <xf numFmtId="0" fontId="0" fillId="0" borderId="0" xfId="0" applyAlignment="1">
      <alignment vertical="top" wrapText="1"/>
    </xf>
    <xf numFmtId="0" fontId="3" fillId="2" borderId="0" xfId="0" applyFont="1" applyFill="1" applyAlignment="1">
      <alignment horizontal="center"/>
    </xf>
    <xf numFmtId="0" fontId="10" fillId="0" borderId="0" xfId="2" applyAlignment="1" applyProtection="1">
      <alignment horizontal="center"/>
    </xf>
    <xf numFmtId="0" fontId="2" fillId="0" borderId="0" xfId="0" applyFont="1" applyAlignment="1">
      <alignment horizontal="center"/>
    </xf>
    <xf numFmtId="0" fontId="9" fillId="0" borderId="0" xfId="0" applyFont="1" applyAlignment="1">
      <alignment horizontal="center"/>
    </xf>
    <xf numFmtId="0" fontId="8" fillId="0" borderId="0" xfId="0" applyFont="1" applyAlignment="1">
      <alignment horizontal="left"/>
    </xf>
    <xf numFmtId="0" fontId="2" fillId="0" borderId="0" xfId="0" applyFont="1" applyAlignment="1">
      <alignment horizontal="left"/>
    </xf>
    <xf numFmtId="0" fontId="2" fillId="6" borderId="4" xfId="0" applyFont="1" applyFill="1" applyBorder="1" applyAlignment="1">
      <alignment horizontal="left"/>
    </xf>
    <xf numFmtId="0" fontId="2" fillId="6" borderId="5" xfId="0" applyFont="1" applyFill="1" applyBorder="1" applyAlignment="1">
      <alignment horizontal="left"/>
    </xf>
    <xf numFmtId="0" fontId="2" fillId="6" borderId="6" xfId="0" applyFont="1" applyFill="1" applyBorder="1" applyAlignment="1">
      <alignment horizontal="left"/>
    </xf>
    <xf numFmtId="0" fontId="3" fillId="0" borderId="0" xfId="0" applyFont="1" applyAlignment="1">
      <alignment horizontal="left"/>
    </xf>
    <xf numFmtId="0" fontId="0" fillId="7" borderId="7" xfId="0" applyFill="1" applyBorder="1" applyAlignment="1">
      <alignment horizontal="center"/>
    </xf>
    <xf numFmtId="0" fontId="0" fillId="3" borderId="0" xfId="0" applyFill="1" applyAlignment="1">
      <alignment horizontal="left"/>
    </xf>
    <xf numFmtId="0" fontId="0" fillId="4" borderId="0" xfId="0" applyFill="1" applyAlignment="1">
      <alignment horizontal="center"/>
    </xf>
    <xf numFmtId="0" fontId="6" fillId="3" borderId="0" xfId="0" applyFont="1" applyFill="1" applyAlignment="1">
      <alignment horizontal="left"/>
    </xf>
    <xf numFmtId="0" fontId="2" fillId="3" borderId="0" xfId="0" applyFont="1" applyFill="1" applyAlignment="1">
      <alignment horizontal="left"/>
    </xf>
    <xf numFmtId="0" fontId="8" fillId="4" borderId="0" xfId="0" applyFont="1" applyFill="1" applyAlignment="1">
      <alignment horizontal="left"/>
    </xf>
    <xf numFmtId="0" fontId="2" fillId="0" borderId="5" xfId="0" applyFont="1" applyBorder="1" applyAlignment="1">
      <alignment horizontal="left"/>
    </xf>
    <xf numFmtId="0" fontId="0" fillId="0" borderId="0" xfId="0" applyAlignment="1">
      <alignment horizontal="right"/>
    </xf>
    <xf numFmtId="49" fontId="1" fillId="0" borderId="0" xfId="0" applyNumberFormat="1" applyFont="1" applyAlignment="1">
      <alignment horizontal="left" readingOrder="1"/>
    </xf>
  </cellXfs>
  <cellStyles count="4">
    <cellStyle name="Currency" xfId="1" builtinId="4"/>
    <cellStyle name="Hyperlink" xfId="2" builtinId="8"/>
    <cellStyle name="Normal" xfId="0" builtinId="0"/>
    <cellStyle name="Percent" xfId="3" builtinId="5"/>
  </cellStyles>
  <dxfs count="0"/>
  <tableStyles count="0" defaultTableStyle="TableStyleMedium9" defaultPivotStyle="PivotStyleLight16"/>
  <colors>
    <mruColors>
      <color rgb="FF1B365D"/>
      <color rgb="FFB1C9E8"/>
      <color rgb="FF0033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230571</xdr:colOff>
      <xdr:row>1</xdr:row>
      <xdr:rowOff>147473</xdr:rowOff>
    </xdr:from>
    <xdr:to>
      <xdr:col>9</xdr:col>
      <xdr:colOff>2582</xdr:colOff>
      <xdr:row>6</xdr:row>
      <xdr:rowOff>126124</xdr:rowOff>
    </xdr:to>
    <xdr:grpSp>
      <xdr:nvGrpSpPr>
        <xdr:cNvPr id="9" name="Group 8" descr="Cooperative Extension Service, Martin-Gatton College of Agriculture, Food and Environment, University of Kentucky">
          <a:extLst>
            <a:ext uri="{FF2B5EF4-FFF2-40B4-BE49-F238E27FC236}">
              <a16:creationId xmlns:a16="http://schemas.microsoft.com/office/drawing/2014/main" id="{00000000-0008-0000-0000-000009000000}"/>
            </a:ext>
          </a:extLst>
        </xdr:cNvPr>
        <xdr:cNvGrpSpPr/>
      </xdr:nvGrpSpPr>
      <xdr:grpSpPr>
        <a:xfrm>
          <a:off x="230571" y="313125"/>
          <a:ext cx="5354489" cy="806912"/>
          <a:chOff x="1445830" y="180318"/>
          <a:chExt cx="5342494" cy="799772"/>
        </a:xfrm>
      </xdr:grpSpPr>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95599" y="304144"/>
            <a:ext cx="2592725" cy="564806"/>
          </a:xfrm>
          <a:prstGeom prst="rect">
            <a:avLst/>
          </a:prstGeom>
        </xdr:spPr>
      </xdr:pic>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045" t="22568" r="11045" b="10537"/>
          <a:stretch/>
        </xdr:blipFill>
        <xdr:spPr>
          <a:xfrm>
            <a:off x="1445830" y="180318"/>
            <a:ext cx="2491280" cy="799772"/>
          </a:xfrm>
          <a:prstGeom prst="rect">
            <a:avLst/>
          </a:prstGeom>
        </xdr:spPr>
      </xdr:pic>
      <xdr:cxnSp macro="">
        <xdr:nvCxnSpPr>
          <xdr:cNvPr id="8" name="Straight Connector 7">
            <a:extLst>
              <a:ext uri="{FF2B5EF4-FFF2-40B4-BE49-F238E27FC236}">
                <a16:creationId xmlns:a16="http://schemas.microsoft.com/office/drawing/2014/main" id="{00000000-0008-0000-0000-000008000000}"/>
              </a:ext>
            </a:extLst>
          </xdr:cNvPr>
          <xdr:cNvCxnSpPr/>
        </xdr:nvCxnSpPr>
        <xdr:spPr bwMode="auto">
          <a:xfrm>
            <a:off x="4016642" y="302220"/>
            <a:ext cx="0" cy="523547"/>
          </a:xfrm>
          <a:prstGeom prst="line">
            <a:avLst/>
          </a:prstGeom>
          <a:solidFill>
            <a:srgbClr val="FFFFE1"/>
          </a:solidFill>
          <a:ln w="12700" cap="flat" cmpd="sng" algn="ctr">
            <a:solidFill>
              <a:schemeClr val="bg1">
                <a:lumMod val="65000"/>
              </a:schemeClr>
            </a:solidFill>
            <a:prstDash val="solid"/>
            <a:round/>
            <a:headEnd type="none" w="med" len="med"/>
            <a:tailEnd type="none" w="med" len="med"/>
          </a:ln>
          <a:effectLst/>
        </xdr:spPr>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kburdine@uky.edu"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A9:K60"/>
  <sheetViews>
    <sheetView showGridLines="0" tabSelected="1" zoomScale="115" zoomScaleNormal="115" workbookViewId="0">
      <selection activeCell="C9" sqref="C9:H9"/>
    </sheetView>
  </sheetViews>
  <sheetFormatPr defaultColWidth="9.140625" defaultRowHeight="12.75" x14ac:dyDescent="0.2"/>
  <cols>
    <col min="1" max="1" width="8" customWidth="1"/>
    <col min="2" max="2" width="12.140625" customWidth="1"/>
    <col min="3" max="3" width="10.42578125" customWidth="1"/>
    <col min="4" max="4" width="7.140625" customWidth="1"/>
  </cols>
  <sheetData>
    <row r="9" spans="2:9" ht="20.25" x14ac:dyDescent="0.3">
      <c r="C9" s="121" t="s">
        <v>170</v>
      </c>
      <c r="D9" s="121"/>
      <c r="E9" s="121"/>
      <c r="F9" s="121"/>
      <c r="G9" s="121"/>
      <c r="H9" s="121"/>
    </row>
    <row r="10" spans="2:9" x14ac:dyDescent="0.2">
      <c r="E10" s="122"/>
      <c r="F10" s="123"/>
    </row>
    <row r="11" spans="2:9" x14ac:dyDescent="0.2">
      <c r="B11" s="18"/>
      <c r="C11" s="18"/>
      <c r="D11" s="18"/>
      <c r="E11" s="18"/>
      <c r="F11" s="18"/>
      <c r="G11" s="18"/>
      <c r="H11" s="18"/>
      <c r="I11" s="18"/>
    </row>
    <row r="12" spans="2:9" ht="15" x14ac:dyDescent="0.2">
      <c r="B12" s="124" t="s">
        <v>168</v>
      </c>
      <c r="C12" s="124"/>
      <c r="D12" s="124"/>
      <c r="E12" s="124"/>
      <c r="F12" s="124"/>
      <c r="G12" s="124"/>
      <c r="H12" s="124"/>
      <c r="I12" s="124"/>
    </row>
    <row r="13" spans="2:9" ht="15" x14ac:dyDescent="0.2">
      <c r="C13" s="124" t="s">
        <v>169</v>
      </c>
      <c r="D13" s="124"/>
      <c r="E13" s="124"/>
      <c r="F13" s="124"/>
      <c r="G13" s="124"/>
      <c r="H13" s="124"/>
    </row>
    <row r="14" spans="2:9" x14ac:dyDescent="0.2">
      <c r="C14" s="118"/>
      <c r="D14" s="118"/>
      <c r="E14" s="118"/>
      <c r="F14" s="118"/>
      <c r="G14" s="118"/>
      <c r="H14" s="118"/>
    </row>
    <row r="15" spans="2:9" x14ac:dyDescent="0.2">
      <c r="C15" s="125" t="s">
        <v>84</v>
      </c>
      <c r="D15" s="125"/>
      <c r="E15" s="125"/>
      <c r="F15" s="125"/>
      <c r="G15" s="125"/>
      <c r="H15" s="125"/>
    </row>
    <row r="16" spans="2:9" ht="15" x14ac:dyDescent="0.2">
      <c r="B16" s="15"/>
      <c r="D16" s="118"/>
      <c r="E16" s="118"/>
      <c r="F16" s="118"/>
      <c r="G16" s="118"/>
    </row>
    <row r="17" spans="1:11" x14ac:dyDescent="0.2">
      <c r="D17" s="125"/>
      <c r="E17" s="125"/>
      <c r="F17" s="125"/>
      <c r="G17" s="125"/>
      <c r="H17" s="20"/>
    </row>
    <row r="18" spans="1:11" x14ac:dyDescent="0.2">
      <c r="A18" s="18"/>
      <c r="B18" s="18"/>
      <c r="C18" s="18"/>
      <c r="D18" s="18"/>
      <c r="E18" s="18"/>
      <c r="F18" s="18"/>
      <c r="G18" s="18"/>
      <c r="H18" s="18"/>
      <c r="I18" s="18"/>
      <c r="J18" s="18"/>
      <c r="K18" s="18"/>
    </row>
    <row r="19" spans="1:11" ht="15" customHeight="1" x14ac:dyDescent="0.2">
      <c r="A19" s="117" t="s">
        <v>91</v>
      </c>
      <c r="B19" s="117"/>
      <c r="C19" s="117"/>
      <c r="D19" s="117"/>
      <c r="E19" s="117"/>
      <c r="F19" s="117"/>
      <c r="G19" s="117"/>
      <c r="H19" s="117"/>
      <c r="I19" s="117"/>
      <c r="J19" s="117"/>
      <c r="K19" s="117"/>
    </row>
    <row r="20" spans="1:11" x14ac:dyDescent="0.2">
      <c r="A20" s="117" t="s">
        <v>85</v>
      </c>
      <c r="B20" s="117"/>
      <c r="C20" s="117"/>
      <c r="D20" s="117"/>
      <c r="E20" s="117"/>
      <c r="F20" s="117"/>
      <c r="G20" s="117"/>
      <c r="H20" s="117"/>
      <c r="I20" s="117"/>
      <c r="J20" s="117"/>
      <c r="K20" s="117"/>
    </row>
    <row r="21" spans="1:11" x14ac:dyDescent="0.2">
      <c r="A21" s="117" t="s">
        <v>86</v>
      </c>
      <c r="B21" s="117"/>
      <c r="C21" s="117"/>
      <c r="D21" s="117"/>
      <c r="E21" s="117"/>
      <c r="F21" s="117"/>
      <c r="G21" s="117"/>
      <c r="H21" s="117"/>
      <c r="I21" s="117"/>
      <c r="J21" s="117"/>
      <c r="K21" s="117"/>
    </row>
    <row r="22" spans="1:11" x14ac:dyDescent="0.2">
      <c r="A22" s="117" t="s">
        <v>87</v>
      </c>
      <c r="B22" s="117"/>
      <c r="C22" s="117"/>
      <c r="D22" s="117"/>
      <c r="E22" s="117"/>
      <c r="F22" s="117"/>
      <c r="G22" s="117"/>
      <c r="H22" s="117"/>
      <c r="I22" s="117"/>
      <c r="J22" s="117"/>
      <c r="K22" s="117"/>
    </row>
    <row r="23" spans="1:11" x14ac:dyDescent="0.2">
      <c r="A23" s="146" t="s">
        <v>90</v>
      </c>
      <c r="B23" s="126"/>
      <c r="C23" s="126"/>
      <c r="D23" s="126"/>
      <c r="E23" s="126"/>
      <c r="F23" s="126"/>
      <c r="G23" s="126"/>
      <c r="H23" s="126"/>
      <c r="I23" s="126"/>
      <c r="J23" s="126"/>
      <c r="K23" s="126"/>
    </row>
    <row r="24" spans="1:11" x14ac:dyDescent="0.2">
      <c r="A24" s="117" t="s">
        <v>88</v>
      </c>
      <c r="B24" s="117"/>
      <c r="C24" s="117"/>
      <c r="D24" s="117"/>
      <c r="E24" s="117"/>
      <c r="F24" s="117"/>
      <c r="G24" s="117"/>
      <c r="H24" s="117"/>
      <c r="I24" s="117"/>
      <c r="J24" s="117"/>
      <c r="K24" s="117"/>
    </row>
    <row r="25" spans="1:11" x14ac:dyDescent="0.2">
      <c r="A25" s="118"/>
      <c r="B25" s="118"/>
      <c r="C25" s="118"/>
      <c r="D25" s="118"/>
      <c r="E25" s="118"/>
      <c r="F25" s="118"/>
      <c r="G25" s="118"/>
      <c r="H25" s="118"/>
      <c r="I25" s="118"/>
      <c r="J25" s="118"/>
      <c r="K25" s="118"/>
    </row>
    <row r="26" spans="1:11" x14ac:dyDescent="0.2">
      <c r="A26" s="119" t="s">
        <v>167</v>
      </c>
      <c r="B26" s="120"/>
      <c r="C26" s="120"/>
      <c r="D26" s="120"/>
      <c r="E26" s="120"/>
      <c r="F26" s="120"/>
      <c r="G26" s="120"/>
      <c r="H26" s="120"/>
      <c r="I26" s="120"/>
      <c r="J26" s="120"/>
      <c r="K26" s="120"/>
    </row>
    <row r="27" spans="1:11" x14ac:dyDescent="0.2">
      <c r="A27" s="119" t="s">
        <v>185</v>
      </c>
      <c r="B27" s="120"/>
      <c r="C27" s="120"/>
      <c r="D27" s="120"/>
      <c r="E27" s="120"/>
      <c r="F27" s="120"/>
      <c r="G27" s="120"/>
      <c r="H27" s="120"/>
      <c r="I27" s="120"/>
      <c r="J27" s="120"/>
      <c r="K27" s="120"/>
    </row>
    <row r="28" spans="1:11" x14ac:dyDescent="0.2">
      <c r="A28" s="119" t="s">
        <v>93</v>
      </c>
      <c r="B28" s="120"/>
      <c r="C28" s="120"/>
      <c r="D28" s="120"/>
      <c r="E28" s="120"/>
      <c r="F28" s="120"/>
      <c r="G28" s="120"/>
      <c r="H28" s="120"/>
      <c r="I28" s="120"/>
      <c r="J28" s="120"/>
      <c r="K28" s="120"/>
    </row>
    <row r="29" spans="1:11" x14ac:dyDescent="0.2">
      <c r="A29" s="119" t="s">
        <v>171</v>
      </c>
      <c r="B29" s="120"/>
      <c r="C29" s="120"/>
      <c r="D29" s="120"/>
      <c r="E29" s="120"/>
      <c r="F29" s="120"/>
      <c r="G29" s="120"/>
      <c r="H29" s="120"/>
      <c r="I29" s="120"/>
      <c r="J29" s="120"/>
      <c r="K29" s="120"/>
    </row>
    <row r="30" spans="1:11" x14ac:dyDescent="0.2">
      <c r="A30" s="119" t="s">
        <v>101</v>
      </c>
      <c r="B30" s="120"/>
      <c r="C30" s="120"/>
      <c r="D30" s="120"/>
      <c r="E30" s="120"/>
      <c r="F30" s="120"/>
      <c r="G30" s="120"/>
      <c r="H30" s="120"/>
      <c r="I30" s="120"/>
      <c r="J30" s="120"/>
      <c r="K30" s="120"/>
    </row>
    <row r="31" spans="1:11" x14ac:dyDescent="0.2">
      <c r="A31" s="118"/>
      <c r="B31" s="118"/>
      <c r="C31" s="118"/>
      <c r="D31" s="118"/>
      <c r="E31" s="118"/>
      <c r="F31" s="118"/>
      <c r="G31" s="118"/>
      <c r="H31" s="118"/>
      <c r="I31" s="118"/>
      <c r="J31" s="118"/>
      <c r="K31" s="118"/>
    </row>
    <row r="32" spans="1:11" x14ac:dyDescent="0.2">
      <c r="A32" s="120" t="s">
        <v>89</v>
      </c>
      <c r="B32" s="120"/>
      <c r="C32" s="120"/>
      <c r="D32" s="120"/>
      <c r="E32" s="120"/>
      <c r="F32" s="120"/>
      <c r="G32" s="120"/>
      <c r="H32" s="120"/>
      <c r="I32" s="120"/>
      <c r="J32" s="120"/>
      <c r="K32" s="120"/>
    </row>
    <row r="33" spans="1:11" x14ac:dyDescent="0.2">
      <c r="A33" s="120" t="s">
        <v>172</v>
      </c>
      <c r="B33" s="120"/>
      <c r="C33" s="120"/>
      <c r="D33" s="120"/>
      <c r="E33" s="120"/>
      <c r="F33" s="120"/>
      <c r="G33" s="120"/>
      <c r="H33" s="120"/>
      <c r="I33" s="120"/>
      <c r="J33" s="120"/>
      <c r="K33" s="120"/>
    </row>
    <row r="34" spans="1:11" x14ac:dyDescent="0.2">
      <c r="A34" s="120" t="s">
        <v>92</v>
      </c>
      <c r="B34" s="120"/>
      <c r="C34" s="120"/>
      <c r="D34" s="120"/>
      <c r="E34" s="120"/>
      <c r="F34" s="120"/>
      <c r="G34" s="120"/>
      <c r="H34" s="120"/>
      <c r="I34" s="120"/>
      <c r="J34" s="120"/>
      <c r="K34" s="120"/>
    </row>
    <row r="35" spans="1:11" x14ac:dyDescent="0.2">
      <c r="A35" s="118"/>
      <c r="B35" s="118"/>
      <c r="C35" s="118"/>
      <c r="D35" s="118"/>
      <c r="E35" s="118"/>
      <c r="F35" s="118"/>
      <c r="G35" s="118"/>
      <c r="H35" s="118"/>
      <c r="I35" s="118"/>
      <c r="J35" s="118"/>
      <c r="K35" s="118"/>
    </row>
    <row r="36" spans="1:11" x14ac:dyDescent="0.2">
      <c r="A36" s="120" t="s">
        <v>99</v>
      </c>
      <c r="B36" s="120"/>
      <c r="C36" s="120"/>
      <c r="D36" s="120"/>
      <c r="E36" s="120"/>
      <c r="F36" s="120"/>
      <c r="G36" s="120"/>
      <c r="H36" s="120"/>
      <c r="I36" s="120"/>
      <c r="J36" s="120"/>
      <c r="K36" s="120"/>
    </row>
    <row r="37" spans="1:11" x14ac:dyDescent="0.2">
      <c r="A37" s="120" t="s">
        <v>100</v>
      </c>
      <c r="B37" s="120"/>
      <c r="C37" s="120"/>
      <c r="D37" s="120"/>
      <c r="E37" s="120"/>
      <c r="F37" s="120"/>
      <c r="G37" s="120"/>
      <c r="H37" s="120"/>
      <c r="I37" s="120"/>
      <c r="J37" s="120"/>
      <c r="K37" s="120"/>
    </row>
    <row r="38" spans="1:11" x14ac:dyDescent="0.2">
      <c r="A38" s="118"/>
      <c r="B38" s="118"/>
      <c r="C38" s="118"/>
      <c r="D38" s="118"/>
      <c r="E38" s="118"/>
      <c r="F38" s="118"/>
      <c r="G38" s="118"/>
      <c r="H38" s="118"/>
      <c r="I38" s="118"/>
      <c r="J38" s="118"/>
      <c r="K38" s="118"/>
    </row>
    <row r="39" spans="1:11" x14ac:dyDescent="0.2">
      <c r="A39" s="120" t="s">
        <v>96</v>
      </c>
      <c r="B39" s="120"/>
      <c r="C39" s="120"/>
      <c r="D39" s="120"/>
      <c r="E39" s="120"/>
      <c r="F39" s="120"/>
      <c r="G39" s="120"/>
      <c r="H39" s="120"/>
      <c r="I39" s="120"/>
      <c r="J39" s="120"/>
      <c r="K39" s="120"/>
    </row>
    <row r="40" spans="1:11" x14ac:dyDescent="0.2">
      <c r="A40" s="120" t="s">
        <v>97</v>
      </c>
      <c r="B40" s="120"/>
      <c r="C40" s="120"/>
      <c r="D40" s="120"/>
      <c r="E40" s="120"/>
      <c r="F40" s="120"/>
      <c r="G40" s="120"/>
      <c r="H40" s="120"/>
      <c r="I40" s="120"/>
      <c r="J40" s="120"/>
      <c r="K40" s="120"/>
    </row>
    <row r="41" spans="1:11" x14ac:dyDescent="0.2">
      <c r="A41" s="131"/>
      <c r="B41" s="131"/>
      <c r="C41" s="131"/>
      <c r="D41" s="131"/>
      <c r="E41" s="131"/>
      <c r="F41" s="131"/>
      <c r="G41" s="131"/>
      <c r="H41" s="131"/>
      <c r="I41" s="131"/>
      <c r="J41" s="131"/>
      <c r="K41" s="131"/>
    </row>
    <row r="42" spans="1:11" x14ac:dyDescent="0.2">
      <c r="A42" s="17"/>
    </row>
    <row r="43" spans="1:11" x14ac:dyDescent="0.2">
      <c r="A43" s="17"/>
      <c r="D43" s="118" t="s">
        <v>95</v>
      </c>
      <c r="E43" s="118"/>
      <c r="F43" s="118"/>
    </row>
    <row r="44" spans="1:11" x14ac:dyDescent="0.2">
      <c r="A44" s="17"/>
      <c r="D44" s="130" t="s">
        <v>180</v>
      </c>
      <c r="E44" s="130"/>
      <c r="F44" s="130"/>
    </row>
    <row r="45" spans="1:11" x14ac:dyDescent="0.2">
      <c r="A45" s="17"/>
      <c r="D45" s="129" t="s">
        <v>181</v>
      </c>
      <c r="E45" s="129"/>
      <c r="F45" s="129"/>
    </row>
    <row r="46" spans="1:11" x14ac:dyDescent="0.2">
      <c r="A46" s="17"/>
      <c r="D46" s="128" t="s">
        <v>83</v>
      </c>
      <c r="E46" s="128"/>
      <c r="F46" s="128"/>
    </row>
    <row r="47" spans="1:11" x14ac:dyDescent="0.2">
      <c r="A47" s="17"/>
      <c r="D47" s="58"/>
      <c r="E47" s="58" t="s">
        <v>84</v>
      </c>
      <c r="F47" s="58"/>
      <c r="G47" s="58"/>
    </row>
    <row r="48" spans="1:11" x14ac:dyDescent="0.2">
      <c r="D48" s="58"/>
      <c r="E48" s="58" t="s">
        <v>182</v>
      </c>
      <c r="F48" s="58"/>
      <c r="G48" s="58"/>
    </row>
    <row r="49" spans="1:10" x14ac:dyDescent="0.2">
      <c r="E49" s="58" t="s">
        <v>183</v>
      </c>
      <c r="F49" s="58"/>
    </row>
    <row r="50" spans="1:10" x14ac:dyDescent="0.2">
      <c r="E50" s="57" t="s">
        <v>184</v>
      </c>
      <c r="F50" s="57"/>
    </row>
    <row r="51" spans="1:10" x14ac:dyDescent="0.2">
      <c r="D51" s="57"/>
      <c r="E51" s="57"/>
      <c r="F51" s="57"/>
    </row>
    <row r="53" spans="1:10" x14ac:dyDescent="0.2">
      <c r="A53" s="127" t="s">
        <v>186</v>
      </c>
      <c r="B53" s="127"/>
      <c r="C53" s="127"/>
      <c r="D53" s="127"/>
      <c r="E53" s="127"/>
      <c r="F53" s="127"/>
      <c r="G53" s="127"/>
      <c r="H53" s="127"/>
      <c r="I53" s="127"/>
      <c r="J53" s="127"/>
    </row>
    <row r="54" spans="1:10" x14ac:dyDescent="0.2">
      <c r="A54" s="127"/>
      <c r="B54" s="127"/>
      <c r="C54" s="127"/>
      <c r="D54" s="127"/>
      <c r="E54" s="127"/>
      <c r="F54" s="127"/>
      <c r="G54" s="127"/>
      <c r="H54" s="127"/>
      <c r="I54" s="127"/>
      <c r="J54" s="127"/>
    </row>
    <row r="55" spans="1:10" x14ac:dyDescent="0.2">
      <c r="A55" s="127"/>
      <c r="B55" s="127"/>
      <c r="C55" s="127"/>
      <c r="D55" s="127"/>
      <c r="E55" s="127"/>
      <c r="F55" s="127"/>
      <c r="G55" s="127"/>
      <c r="H55" s="127"/>
      <c r="I55" s="127"/>
      <c r="J55" s="127"/>
    </row>
    <row r="56" spans="1:10" x14ac:dyDescent="0.2">
      <c r="A56" s="127"/>
      <c r="B56" s="127"/>
      <c r="C56" s="127"/>
      <c r="D56" s="127"/>
      <c r="E56" s="127"/>
      <c r="F56" s="127"/>
      <c r="G56" s="127"/>
      <c r="H56" s="127"/>
      <c r="I56" s="127"/>
      <c r="J56" s="127"/>
    </row>
    <row r="57" spans="1:10" x14ac:dyDescent="0.2">
      <c r="A57" s="127"/>
      <c r="B57" s="127"/>
      <c r="C57" s="127"/>
      <c r="D57" s="127"/>
      <c r="E57" s="127"/>
      <c r="F57" s="127"/>
      <c r="G57" s="127"/>
      <c r="H57" s="127"/>
      <c r="I57" s="127"/>
      <c r="J57" s="127"/>
    </row>
    <row r="58" spans="1:10" x14ac:dyDescent="0.2">
      <c r="A58" s="127"/>
      <c r="B58" s="127"/>
      <c r="C58" s="127"/>
      <c r="D58" s="127"/>
      <c r="E58" s="127"/>
      <c r="F58" s="127"/>
      <c r="G58" s="127"/>
      <c r="H58" s="127"/>
      <c r="I58" s="127"/>
      <c r="J58" s="127"/>
    </row>
    <row r="59" spans="1:10" x14ac:dyDescent="0.2">
      <c r="A59" s="127"/>
      <c r="B59" s="127"/>
      <c r="C59" s="127"/>
      <c r="D59" s="127"/>
      <c r="E59" s="127"/>
      <c r="F59" s="127"/>
      <c r="G59" s="127"/>
      <c r="H59" s="127"/>
      <c r="I59" s="127"/>
      <c r="J59" s="127"/>
    </row>
    <row r="60" spans="1:10" x14ac:dyDescent="0.2">
      <c r="A60" s="127"/>
      <c r="B60" s="127"/>
      <c r="C60" s="127"/>
      <c r="D60" s="127"/>
      <c r="E60" s="127"/>
      <c r="F60" s="127"/>
      <c r="G60" s="127"/>
      <c r="H60" s="127"/>
      <c r="I60" s="127"/>
      <c r="J60" s="127"/>
    </row>
  </sheetData>
  <mergeCells count="36">
    <mergeCell ref="A53:J60"/>
    <mergeCell ref="C15:H15"/>
    <mergeCell ref="D46:F46"/>
    <mergeCell ref="D45:F45"/>
    <mergeCell ref="A39:K39"/>
    <mergeCell ref="A40:K40"/>
    <mergeCell ref="D43:F43"/>
    <mergeCell ref="D44:F44"/>
    <mergeCell ref="A41:K41"/>
    <mergeCell ref="A34:K34"/>
    <mergeCell ref="A36:K36"/>
    <mergeCell ref="A37:K37"/>
    <mergeCell ref="A26:K26"/>
    <mergeCell ref="A29:K29"/>
    <mergeCell ref="A30:K30"/>
    <mergeCell ref="A38:K38"/>
    <mergeCell ref="B12:I12"/>
    <mergeCell ref="A19:K19"/>
    <mergeCell ref="A20:K20"/>
    <mergeCell ref="A21:K21"/>
    <mergeCell ref="A22:K22"/>
    <mergeCell ref="C13:H13"/>
    <mergeCell ref="C14:H14"/>
    <mergeCell ref="A25:K25"/>
    <mergeCell ref="D17:G17"/>
    <mergeCell ref="D16:G16"/>
    <mergeCell ref="A23:K23"/>
    <mergeCell ref="A33:K33"/>
    <mergeCell ref="A24:K24"/>
    <mergeCell ref="A35:K35"/>
    <mergeCell ref="A27:K27"/>
    <mergeCell ref="A28:K28"/>
    <mergeCell ref="C9:H9"/>
    <mergeCell ref="E10:F10"/>
    <mergeCell ref="A32:K32"/>
    <mergeCell ref="A31:K31"/>
  </mergeCells>
  <phoneticPr fontId="0" type="noConversion"/>
  <hyperlinks>
    <hyperlink ref="D45" r:id="rId1" xr:uid="{00000000-0004-0000-0000-000000000000}"/>
  </hyperlinks>
  <pageMargins left="0.25" right="0.25" top="0.25" bottom="0.25" header="0.5" footer="0.5"/>
  <pageSetup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I49"/>
  <sheetViews>
    <sheetView showGridLines="0" showRowColHeaders="0" zoomScaleNormal="100" workbookViewId="0">
      <selection activeCell="H3" sqref="H3"/>
    </sheetView>
  </sheetViews>
  <sheetFormatPr defaultRowHeight="12.75" x14ac:dyDescent="0.2"/>
  <cols>
    <col min="2" max="2" width="10.5703125" customWidth="1"/>
    <col min="3" max="3" width="7.5703125" customWidth="1"/>
    <col min="4" max="5" width="9.28515625" bestFit="1" customWidth="1"/>
    <col min="6" max="6" width="9.140625" style="18" customWidth="1"/>
    <col min="7" max="7" width="10.42578125" bestFit="1" customWidth="1"/>
    <col min="8" max="8" width="9.28515625" bestFit="1" customWidth="1"/>
  </cols>
  <sheetData>
    <row r="1" spans="1:9" ht="15.75" x14ac:dyDescent="0.25">
      <c r="A1" s="132" t="s">
        <v>49</v>
      </c>
      <c r="B1" s="132"/>
      <c r="C1" s="132"/>
      <c r="D1" s="132"/>
      <c r="E1" s="132"/>
      <c r="F1" s="132"/>
      <c r="G1" s="132"/>
      <c r="H1" s="132"/>
    </row>
    <row r="2" spans="1:9" x14ac:dyDescent="0.2">
      <c r="A2" s="1"/>
    </row>
    <row r="3" spans="1:9" ht="15" x14ac:dyDescent="0.25">
      <c r="A3" s="45" t="s">
        <v>1</v>
      </c>
      <c r="B3" s="45"/>
      <c r="C3" s="45"/>
      <c r="D3" s="45"/>
      <c r="G3" t="s">
        <v>2</v>
      </c>
      <c r="H3" t="s">
        <v>2</v>
      </c>
    </row>
    <row r="5" spans="1:9" x14ac:dyDescent="0.2">
      <c r="A5" s="117" t="s">
        <v>7</v>
      </c>
      <c r="B5" s="117"/>
      <c r="C5" s="117"/>
      <c r="D5" s="18"/>
      <c r="E5" s="59">
        <v>0.85</v>
      </c>
      <c r="F5" t="s">
        <v>2</v>
      </c>
    </row>
    <row r="6" spans="1:9" x14ac:dyDescent="0.2">
      <c r="A6" s="117" t="s">
        <v>8</v>
      </c>
      <c r="B6" s="117"/>
      <c r="C6" s="117"/>
      <c r="D6" s="18"/>
      <c r="E6" s="59">
        <v>0</v>
      </c>
      <c r="F6"/>
    </row>
    <row r="7" spans="1:9" x14ac:dyDescent="0.2">
      <c r="A7" s="117" t="s">
        <v>9</v>
      </c>
      <c r="B7" s="117"/>
      <c r="C7" s="117"/>
      <c r="D7" s="18"/>
      <c r="E7" s="59">
        <v>0.15</v>
      </c>
      <c r="F7"/>
    </row>
    <row r="8" spans="1:9" x14ac:dyDescent="0.2">
      <c r="A8" s="117" t="s">
        <v>10</v>
      </c>
      <c r="B8" s="117"/>
      <c r="C8" s="117"/>
      <c r="D8" s="18"/>
      <c r="E8" s="59">
        <v>0.01</v>
      </c>
      <c r="F8"/>
    </row>
    <row r="9" spans="1:9" x14ac:dyDescent="0.2">
      <c r="G9" s="9"/>
    </row>
    <row r="10" spans="1:9" x14ac:dyDescent="0.2">
      <c r="E10" s="2" t="s">
        <v>3</v>
      </c>
      <c r="F10" s="16" t="s">
        <v>4</v>
      </c>
      <c r="G10" s="2" t="s">
        <v>5</v>
      </c>
      <c r="H10" s="2" t="s">
        <v>6</v>
      </c>
    </row>
    <row r="11" spans="1:9" x14ac:dyDescent="0.2">
      <c r="A11" s="133" t="s">
        <v>46</v>
      </c>
      <c r="B11" s="133"/>
      <c r="C11" s="133"/>
      <c r="I11" s="3"/>
    </row>
    <row r="12" spans="1:9" x14ac:dyDescent="0.2">
      <c r="B12" t="s">
        <v>2</v>
      </c>
      <c r="C12" s="1" t="s">
        <v>11</v>
      </c>
      <c r="D12" s="2" t="s">
        <v>12</v>
      </c>
      <c r="E12" s="3" t="s">
        <v>2</v>
      </c>
      <c r="F12" s="18" t="s">
        <v>2</v>
      </c>
      <c r="G12" s="3" t="s">
        <v>2</v>
      </c>
      <c r="H12" s="3" t="s">
        <v>2</v>
      </c>
      <c r="I12" s="3"/>
    </row>
    <row r="13" spans="1:9" x14ac:dyDescent="0.2">
      <c r="A13" t="s">
        <v>52</v>
      </c>
      <c r="C13" s="8">
        <f>E5/2-((E5*E6)/2)</f>
        <v>0.42499999999999999</v>
      </c>
      <c r="D13" s="60">
        <v>575</v>
      </c>
      <c r="E13" s="6">
        <f>C13*D13</f>
        <v>244.375</v>
      </c>
      <c r="F13" s="18" t="s">
        <v>13</v>
      </c>
      <c r="G13" s="61">
        <v>2.4500000000000002</v>
      </c>
      <c r="H13" s="11">
        <f>E13*G13</f>
        <v>598.71875</v>
      </c>
      <c r="I13" s="3"/>
    </row>
    <row r="14" spans="1:9" x14ac:dyDescent="0.2">
      <c r="A14" t="s">
        <v>53</v>
      </c>
      <c r="C14" s="8">
        <f>(E5/2-((E5*E6)/2)-E7)</f>
        <v>0.27500000000000002</v>
      </c>
      <c r="D14" s="60">
        <v>550</v>
      </c>
      <c r="E14" s="6">
        <f>C14*D14</f>
        <v>151.25</v>
      </c>
      <c r="F14" s="18" t="s">
        <v>13</v>
      </c>
      <c r="G14" s="61">
        <v>2.25</v>
      </c>
      <c r="H14" s="11">
        <f>E14*G14</f>
        <v>340.3125</v>
      </c>
      <c r="I14" s="3"/>
    </row>
    <row r="15" spans="1:9" x14ac:dyDescent="0.2">
      <c r="A15" t="s">
        <v>54</v>
      </c>
      <c r="C15" s="8">
        <f>E7-E8</f>
        <v>0.13999999999999999</v>
      </c>
      <c r="D15" s="60">
        <v>1300</v>
      </c>
      <c r="E15" s="6">
        <f>C15*D15</f>
        <v>181.99999999999997</v>
      </c>
      <c r="F15" s="18" t="s">
        <v>13</v>
      </c>
      <c r="G15" s="61">
        <v>0.8</v>
      </c>
      <c r="H15" s="11">
        <f>E15*G15</f>
        <v>145.6</v>
      </c>
      <c r="I15" s="3"/>
    </row>
    <row r="16" spans="1:9" x14ac:dyDescent="0.2">
      <c r="A16" s="19" t="s">
        <v>14</v>
      </c>
      <c r="B16" s="19"/>
      <c r="E16" s="3" t="s">
        <v>2</v>
      </c>
      <c r="F16" s="18" t="s">
        <v>2</v>
      </c>
      <c r="G16" s="11" t="s">
        <v>2</v>
      </c>
      <c r="H16" s="11">
        <f>SUM(H13:H15)</f>
        <v>1084.6312499999999</v>
      </c>
      <c r="I16" s="3"/>
    </row>
    <row r="17" spans="1:9" x14ac:dyDescent="0.2">
      <c r="A17" s="103" t="s">
        <v>2</v>
      </c>
      <c r="B17" s="103"/>
      <c r="C17" s="103"/>
      <c r="D17" s="103"/>
      <c r="E17" s="103"/>
      <c r="F17" s="103"/>
      <c r="G17" s="103"/>
      <c r="H17" s="103"/>
      <c r="I17" s="3"/>
    </row>
    <row r="18" spans="1:9" x14ac:dyDescent="0.2">
      <c r="A18" s="19" t="s">
        <v>15</v>
      </c>
      <c r="B18" s="19"/>
      <c r="C18" s="19"/>
      <c r="I18" s="3"/>
    </row>
    <row r="19" spans="1:9" x14ac:dyDescent="0.2">
      <c r="A19" s="13" t="s">
        <v>55</v>
      </c>
      <c r="B19" s="13"/>
      <c r="E19" s="62">
        <v>2</v>
      </c>
      <c r="F19" s="18" t="s">
        <v>16</v>
      </c>
      <c r="G19" s="61">
        <v>40</v>
      </c>
      <c r="H19" s="11">
        <f>E19*G19</f>
        <v>80</v>
      </c>
      <c r="I19" s="3"/>
    </row>
    <row r="20" spans="1:9" x14ac:dyDescent="0.2">
      <c r="A20" t="s">
        <v>56</v>
      </c>
      <c r="C20" t="s">
        <v>2</v>
      </c>
      <c r="E20" s="62">
        <v>2.5</v>
      </c>
      <c r="F20" s="18" t="s">
        <v>17</v>
      </c>
      <c r="G20" s="61">
        <v>90</v>
      </c>
      <c r="H20" s="11">
        <f t="shared" ref="H20:H28" si="0">E20*G20</f>
        <v>225</v>
      </c>
      <c r="I20" s="3"/>
    </row>
    <row r="21" spans="1:9" x14ac:dyDescent="0.2">
      <c r="A21" t="s">
        <v>57</v>
      </c>
      <c r="D21" t="s">
        <v>2</v>
      </c>
      <c r="E21" s="62">
        <v>0</v>
      </c>
      <c r="F21" s="18" t="s">
        <v>13</v>
      </c>
      <c r="G21" s="61">
        <v>0</v>
      </c>
      <c r="H21" s="11">
        <f t="shared" si="0"/>
        <v>0</v>
      </c>
      <c r="I21" s="3"/>
    </row>
    <row r="22" spans="1:9" x14ac:dyDescent="0.2">
      <c r="A22" s="13" t="s">
        <v>58</v>
      </c>
      <c r="B22" s="13"/>
      <c r="D22" t="s">
        <v>2</v>
      </c>
      <c r="E22" s="62">
        <v>91.25</v>
      </c>
      <c r="F22" s="18" t="s">
        <v>13</v>
      </c>
      <c r="G22" s="61">
        <v>0.4</v>
      </c>
      <c r="H22" s="11">
        <f t="shared" si="0"/>
        <v>36.5</v>
      </c>
      <c r="I22" s="3"/>
    </row>
    <row r="23" spans="1:9" x14ac:dyDescent="0.2">
      <c r="A23" s="13" t="s">
        <v>59</v>
      </c>
      <c r="B23" s="13"/>
      <c r="D23" t="s">
        <v>2</v>
      </c>
      <c r="E23" s="10">
        <v>1</v>
      </c>
      <c r="F23" s="18" t="s">
        <v>39</v>
      </c>
      <c r="G23" s="61">
        <v>30</v>
      </c>
      <c r="H23" s="11">
        <f t="shared" si="0"/>
        <v>30</v>
      </c>
      <c r="I23" s="3"/>
    </row>
    <row r="24" spans="1:9" x14ac:dyDescent="0.2">
      <c r="A24" t="s">
        <v>60</v>
      </c>
      <c r="C24" t="s">
        <v>2</v>
      </c>
      <c r="D24" t="s">
        <v>2</v>
      </c>
      <c r="E24" s="10">
        <v>1</v>
      </c>
      <c r="F24" s="18" t="s">
        <v>39</v>
      </c>
      <c r="G24" s="61">
        <v>50</v>
      </c>
      <c r="H24" s="11">
        <f t="shared" si="0"/>
        <v>50</v>
      </c>
      <c r="I24" s="3"/>
    </row>
    <row r="25" spans="1:9" x14ac:dyDescent="0.2">
      <c r="A25" t="s">
        <v>61</v>
      </c>
      <c r="C25" t="s">
        <v>2</v>
      </c>
      <c r="D25" t="s">
        <v>2</v>
      </c>
      <c r="E25" s="10">
        <v>1</v>
      </c>
      <c r="F25" s="18" t="s">
        <v>39</v>
      </c>
      <c r="G25" s="61">
        <v>40</v>
      </c>
      <c r="H25" s="11">
        <f>E25*G25</f>
        <v>40</v>
      </c>
      <c r="I25" s="3"/>
    </row>
    <row r="26" spans="1:9" x14ac:dyDescent="0.2">
      <c r="A26" s="13" t="s">
        <v>62</v>
      </c>
      <c r="B26" s="13"/>
      <c r="C26" s="13"/>
      <c r="E26" s="12">
        <f>E7</f>
        <v>0.15</v>
      </c>
      <c r="F26" s="18" t="s">
        <v>39</v>
      </c>
      <c r="G26" s="42">
        <f>'Replacement Beef Heifer'!H37</f>
        <v>451.07499999999999</v>
      </c>
      <c r="H26" s="11">
        <f t="shared" si="0"/>
        <v>67.661249999999995</v>
      </c>
      <c r="I26" s="3"/>
    </row>
    <row r="27" spans="1:9" x14ac:dyDescent="0.2">
      <c r="A27" s="13" t="s">
        <v>63</v>
      </c>
      <c r="B27" s="13"/>
      <c r="C27" s="13"/>
      <c r="E27" s="10">
        <v>1</v>
      </c>
      <c r="F27" s="18" t="s">
        <v>39</v>
      </c>
      <c r="G27" s="61">
        <v>40</v>
      </c>
      <c r="H27" s="11">
        <f t="shared" si="0"/>
        <v>40</v>
      </c>
      <c r="I27" s="3"/>
    </row>
    <row r="28" spans="1:9" x14ac:dyDescent="0.2">
      <c r="A28" s="64" t="s">
        <v>64</v>
      </c>
      <c r="B28" s="64"/>
      <c r="C28" s="64"/>
      <c r="D28" t="s">
        <v>2</v>
      </c>
      <c r="E28" s="62">
        <v>1</v>
      </c>
      <c r="F28" s="18" t="s">
        <v>39</v>
      </c>
      <c r="G28" s="61">
        <v>15</v>
      </c>
      <c r="H28" s="11">
        <f t="shared" si="0"/>
        <v>15</v>
      </c>
      <c r="I28" s="3"/>
    </row>
    <row r="29" spans="1:9" x14ac:dyDescent="0.2">
      <c r="A29" s="13" t="s">
        <v>80</v>
      </c>
      <c r="B29" s="13"/>
      <c r="C29" s="13"/>
      <c r="E29" s="11">
        <f>SUM(H19:H28)</f>
        <v>584.16125</v>
      </c>
      <c r="F29" s="18" t="s">
        <v>40</v>
      </c>
      <c r="G29" s="63">
        <v>0.08</v>
      </c>
      <c r="H29" s="11">
        <f>(9/12)*G29*E29</f>
        <v>35.049675000000001</v>
      </c>
      <c r="I29" s="3"/>
    </row>
    <row r="30" spans="1:9" x14ac:dyDescent="0.2">
      <c r="A30" s="19" t="s">
        <v>68</v>
      </c>
      <c r="B30" s="19"/>
      <c r="C30" s="19"/>
      <c r="E30" s="3"/>
      <c r="G30" s="11"/>
      <c r="H30" s="11">
        <f>SUM(H19:H29)</f>
        <v>619.21092499999997</v>
      </c>
      <c r="I30" s="3"/>
    </row>
    <row r="31" spans="1:9" x14ac:dyDescent="0.2">
      <c r="E31" s="3"/>
      <c r="G31" s="11"/>
      <c r="H31" s="11"/>
      <c r="I31" s="3"/>
    </row>
    <row r="32" spans="1:9" x14ac:dyDescent="0.2">
      <c r="A32" s="133" t="s">
        <v>18</v>
      </c>
      <c r="B32" s="133"/>
      <c r="C32" s="133"/>
      <c r="D32" s="133"/>
      <c r="E32" s="133"/>
      <c r="G32" s="11"/>
      <c r="H32" s="11">
        <f>H16-H30</f>
        <v>465.42032499999993</v>
      </c>
      <c r="I32" s="3"/>
    </row>
    <row r="33" spans="1:9" x14ac:dyDescent="0.2">
      <c r="A33" s="103"/>
      <c r="B33" s="103"/>
      <c r="C33" s="103"/>
      <c r="D33" s="103"/>
      <c r="E33" s="103"/>
      <c r="F33" s="103"/>
      <c r="G33" s="103"/>
      <c r="H33" s="103"/>
      <c r="I33" s="3"/>
    </row>
    <row r="34" spans="1:9" x14ac:dyDescent="0.2">
      <c r="A34" s="133" t="s">
        <v>23</v>
      </c>
      <c r="B34" s="133"/>
      <c r="C34" s="133"/>
      <c r="I34" s="3"/>
    </row>
    <row r="35" spans="1:9" x14ac:dyDescent="0.2">
      <c r="A35" s="117" t="s">
        <v>65</v>
      </c>
      <c r="B35" s="117"/>
      <c r="E35" s="3"/>
      <c r="G35" s="11"/>
      <c r="H35" s="61">
        <v>150</v>
      </c>
      <c r="I35" s="3"/>
    </row>
    <row r="36" spans="1:9" x14ac:dyDescent="0.2">
      <c r="A36" s="117" t="s">
        <v>66</v>
      </c>
      <c r="B36" s="117"/>
      <c r="E36" s="3"/>
      <c r="G36" s="11"/>
      <c r="H36" s="61">
        <v>30</v>
      </c>
      <c r="I36" s="3"/>
    </row>
    <row r="37" spans="1:9" x14ac:dyDescent="0.2">
      <c r="A37" s="13" t="s">
        <v>67</v>
      </c>
      <c r="B37" s="13"/>
      <c r="C37" s="13"/>
      <c r="E37" s="62">
        <v>0</v>
      </c>
      <c r="F37" s="18" t="s">
        <v>45</v>
      </c>
      <c r="G37" s="61">
        <v>20</v>
      </c>
      <c r="H37" s="11">
        <f>E37*G37</f>
        <v>0</v>
      </c>
      <c r="I37" s="3"/>
    </row>
    <row r="38" spans="1:9" x14ac:dyDescent="0.2">
      <c r="A38" s="19" t="s">
        <v>69</v>
      </c>
      <c r="B38" s="19"/>
      <c r="C38" s="19"/>
      <c r="E38" s="3"/>
      <c r="G38" s="11"/>
      <c r="H38" s="11">
        <f>SUM(H35:H37)</f>
        <v>180</v>
      </c>
      <c r="I38" s="3"/>
    </row>
    <row r="39" spans="1:9" ht="9" customHeight="1" x14ac:dyDescent="0.2">
      <c r="E39" s="3"/>
      <c r="G39" s="11"/>
      <c r="H39" s="11"/>
      <c r="I39" s="3"/>
    </row>
    <row r="40" spans="1:9" x14ac:dyDescent="0.2">
      <c r="A40" s="133" t="s">
        <v>48</v>
      </c>
      <c r="B40" s="133"/>
      <c r="E40" s="3"/>
      <c r="G40" s="11"/>
      <c r="H40" s="11">
        <f>H30+H38</f>
        <v>799.21092499999997</v>
      </c>
      <c r="I40" s="3"/>
    </row>
    <row r="41" spans="1:9" x14ac:dyDescent="0.2">
      <c r="E41" s="3"/>
      <c r="G41" s="3"/>
      <c r="H41" s="3"/>
      <c r="I41" s="3"/>
    </row>
    <row r="42" spans="1:9" x14ac:dyDescent="0.2">
      <c r="A42" s="133" t="s">
        <v>27</v>
      </c>
      <c r="B42" s="133"/>
      <c r="C42" s="133"/>
      <c r="D42" s="133"/>
      <c r="E42" s="133"/>
      <c r="G42" s="3"/>
      <c r="H42" s="11">
        <f>H32-H38</f>
        <v>285.42032499999993</v>
      </c>
      <c r="I42" s="3"/>
    </row>
    <row r="43" spans="1:9" x14ac:dyDescent="0.2">
      <c r="A43" s="1"/>
      <c r="E43" s="3"/>
      <c r="G43" s="3"/>
      <c r="H43" s="11"/>
      <c r="I43" s="3"/>
    </row>
    <row r="44" spans="1:9" x14ac:dyDescent="0.2">
      <c r="A44" s="134" t="s">
        <v>19</v>
      </c>
      <c r="B44" s="135"/>
      <c r="C44" s="135"/>
      <c r="D44" s="135"/>
      <c r="E44" s="135"/>
      <c r="F44" s="135"/>
      <c r="G44" s="136"/>
      <c r="H44" s="11"/>
      <c r="I44" s="3"/>
    </row>
    <row r="45" spans="1:9" x14ac:dyDescent="0.2">
      <c r="A45" s="68"/>
      <c r="B45" s="69" t="s">
        <v>50</v>
      </c>
      <c r="C45" s="70">
        <f>(H30/H16)*G15</f>
        <v>0.45671627108291413</v>
      </c>
      <c r="D45" s="71" t="s">
        <v>21</v>
      </c>
      <c r="E45" s="70">
        <f>(H30/H16)*G14</f>
        <v>1.2845145124206958</v>
      </c>
      <c r="F45" s="72" t="s">
        <v>26</v>
      </c>
      <c r="G45" s="73">
        <f>(H30/H16)*G13</f>
        <v>1.3986935801914246</v>
      </c>
    </row>
    <row r="46" spans="1:9" x14ac:dyDescent="0.2">
      <c r="A46" s="65" t="s">
        <v>24</v>
      </c>
      <c r="B46" s="66"/>
      <c r="C46" s="66"/>
      <c r="D46" s="66"/>
      <c r="E46" s="66"/>
      <c r="F46" s="66"/>
      <c r="G46" s="67"/>
    </row>
    <row r="47" spans="1:9" x14ac:dyDescent="0.2">
      <c r="A47" s="74"/>
      <c r="B47" s="75" t="s">
        <v>50</v>
      </c>
      <c r="C47" s="70">
        <f>(H40/H16)*G15</f>
        <v>0.5894802865029013</v>
      </c>
      <c r="D47" s="71" t="s">
        <v>21</v>
      </c>
      <c r="E47" s="70">
        <f>(H40/H16)*G14</f>
        <v>1.65791330578941</v>
      </c>
      <c r="F47" s="72" t="s">
        <v>51</v>
      </c>
      <c r="G47" s="73">
        <f>(H40/H16)*G13</f>
        <v>1.8052833774151353</v>
      </c>
    </row>
    <row r="49" spans="1:8" x14ac:dyDescent="0.2">
      <c r="A49" s="137"/>
      <c r="B49" s="137"/>
      <c r="C49" s="137"/>
      <c r="D49" s="137"/>
      <c r="E49" s="137"/>
      <c r="F49" s="137"/>
      <c r="G49" s="137"/>
      <c r="H49" s="137"/>
    </row>
  </sheetData>
  <sheetProtection algorithmName="SHA-512" hashValue="hGTUTuf8lAvn132uMAzeTUcenCIz1w0TXSB+BhO7Jg4TL0HU0ev1xdYO0ycyyN6Uwq7pbS0NGKdk8KVt/M7XIg==" saltValue="GcgvpDh0Sk0LFTrKBTOhrg==" spinCount="100000" sheet="1" formatColumns="0"/>
  <protectedRanges>
    <protectedRange sqref="E28" name="Range11"/>
    <protectedRange sqref="G27:G29" name="Range9"/>
    <protectedRange sqref="E5:E8" name="Range8"/>
    <protectedRange sqref="G37" name="Range6"/>
    <protectedRange sqref="E37" name="Range5"/>
    <protectedRange sqref="G19:G25" name="Range4"/>
    <protectedRange sqref="E19:E22" name="Range3"/>
    <protectedRange sqref="G13:G15" name="Range2"/>
    <protectedRange sqref="D13:D15" name="Range1"/>
    <protectedRange sqref="H35:H36" name="Range7"/>
    <protectedRange sqref="A28" name="Range10"/>
  </protectedRanges>
  <mergeCells count="14">
    <mergeCell ref="A42:E42"/>
    <mergeCell ref="A44:G44"/>
    <mergeCell ref="A49:H49"/>
    <mergeCell ref="A11:C11"/>
    <mergeCell ref="A40:B40"/>
    <mergeCell ref="A32:E32"/>
    <mergeCell ref="A34:C34"/>
    <mergeCell ref="A35:B35"/>
    <mergeCell ref="A36:B36"/>
    <mergeCell ref="A1:H1"/>
    <mergeCell ref="A5:C5"/>
    <mergeCell ref="A6:C6"/>
    <mergeCell ref="A7:C7"/>
    <mergeCell ref="A8:C8"/>
  </mergeCells>
  <phoneticPr fontId="0" type="noConversion"/>
  <pageMargins left="0.75" right="0.75" top="1" bottom="0.5" header="0.5" footer="0.5"/>
  <pageSetup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autoPageBreaks="0"/>
  </sheetPr>
  <dimension ref="A1:H49"/>
  <sheetViews>
    <sheetView showGridLines="0" showRowColHeaders="0" zoomScaleNormal="100" workbookViewId="0">
      <selection activeCell="H3" sqref="H3"/>
    </sheetView>
  </sheetViews>
  <sheetFormatPr defaultRowHeight="12.75" x14ac:dyDescent="0.2"/>
  <cols>
    <col min="1" max="1" width="13" customWidth="1"/>
    <col min="2" max="2" width="7.140625" customWidth="1"/>
    <col min="3" max="4" width="7.7109375" customWidth="1"/>
    <col min="5" max="5" width="10" customWidth="1"/>
    <col min="6" max="6" width="8.140625" style="18" customWidth="1"/>
    <col min="7" max="7" width="9.28515625" customWidth="1"/>
    <col min="8" max="8" width="9.7109375" customWidth="1"/>
  </cols>
  <sheetData>
    <row r="1" spans="1:8" s="1" customFormat="1" ht="15.75" x14ac:dyDescent="0.25">
      <c r="A1" s="132" t="s">
        <v>0</v>
      </c>
      <c r="B1" s="132"/>
      <c r="C1" s="132"/>
      <c r="D1" s="132"/>
      <c r="E1" s="132"/>
      <c r="F1" s="132"/>
      <c r="G1" s="132"/>
      <c r="H1" s="132"/>
    </row>
    <row r="2" spans="1:8" x14ac:dyDescent="0.2">
      <c r="G2" t="s">
        <v>2</v>
      </c>
      <c r="H2" t="s">
        <v>2</v>
      </c>
    </row>
    <row r="3" spans="1:8" ht="15" x14ac:dyDescent="0.25">
      <c r="A3" s="47" t="s">
        <v>1</v>
      </c>
      <c r="B3" s="48"/>
      <c r="C3" s="48"/>
      <c r="D3" s="48"/>
    </row>
    <row r="4" spans="1:8" x14ac:dyDescent="0.2">
      <c r="A4" s="7"/>
    </row>
    <row r="5" spans="1:8" x14ac:dyDescent="0.2">
      <c r="A5" s="117" t="s">
        <v>7</v>
      </c>
      <c r="B5" s="117"/>
      <c r="C5" s="117"/>
      <c r="D5" s="18"/>
      <c r="E5" s="76">
        <v>0.85</v>
      </c>
    </row>
    <row r="6" spans="1:8" x14ac:dyDescent="0.2">
      <c r="A6" s="117" t="s">
        <v>8</v>
      </c>
      <c r="B6" s="117"/>
      <c r="C6" s="117"/>
      <c r="D6" s="18"/>
      <c r="E6" s="76">
        <v>0</v>
      </c>
    </row>
    <row r="7" spans="1:8" x14ac:dyDescent="0.2">
      <c r="A7" s="117" t="s">
        <v>9</v>
      </c>
      <c r="B7" s="117"/>
      <c r="C7" s="117"/>
      <c r="D7" s="18"/>
      <c r="E7" s="76">
        <v>0.15</v>
      </c>
      <c r="F7" t="s">
        <v>2</v>
      </c>
    </row>
    <row r="8" spans="1:8" x14ac:dyDescent="0.2">
      <c r="A8" s="117" t="s">
        <v>10</v>
      </c>
      <c r="B8" s="117"/>
      <c r="C8" s="117"/>
      <c r="D8" s="18"/>
      <c r="E8" s="76">
        <v>0.01</v>
      </c>
      <c r="F8"/>
    </row>
    <row r="9" spans="1:8" x14ac:dyDescent="0.2">
      <c r="F9"/>
    </row>
    <row r="10" spans="1:8" x14ac:dyDescent="0.2">
      <c r="E10" s="2" t="s">
        <v>3</v>
      </c>
      <c r="F10" s="16" t="s">
        <v>4</v>
      </c>
      <c r="G10" s="2" t="s">
        <v>5</v>
      </c>
      <c r="H10" s="2" t="s">
        <v>6</v>
      </c>
    </row>
    <row r="11" spans="1:8" s="1" customFormat="1" x14ac:dyDescent="0.2">
      <c r="A11" s="133" t="s">
        <v>46</v>
      </c>
      <c r="B11" s="133"/>
      <c r="C11" s="133"/>
      <c r="F11" s="16"/>
    </row>
    <row r="12" spans="1:8" x14ac:dyDescent="0.2">
      <c r="A12" t="s">
        <v>2</v>
      </c>
      <c r="B12" t="s">
        <v>2</v>
      </c>
      <c r="C12" s="1" t="s">
        <v>11</v>
      </c>
      <c r="D12" s="2" t="s">
        <v>12</v>
      </c>
      <c r="F12" s="18" t="s">
        <v>2</v>
      </c>
      <c r="G12" t="s">
        <v>2</v>
      </c>
      <c r="H12" t="s">
        <v>2</v>
      </c>
    </row>
    <row r="13" spans="1:8" x14ac:dyDescent="0.2">
      <c r="A13" t="s">
        <v>28</v>
      </c>
      <c r="C13" s="8">
        <f>E5/2-((E5*E6)/2)</f>
        <v>0.42499999999999999</v>
      </c>
      <c r="D13" s="77">
        <v>575</v>
      </c>
      <c r="E13" s="6">
        <f>C13*D13</f>
        <v>244.375</v>
      </c>
      <c r="F13" s="18" t="s">
        <v>13</v>
      </c>
      <c r="G13" s="78">
        <v>2.65</v>
      </c>
      <c r="H13" s="4">
        <f>E13*G13</f>
        <v>647.59375</v>
      </c>
    </row>
    <row r="14" spans="1:8" x14ac:dyDescent="0.2">
      <c r="A14" t="s">
        <v>29</v>
      </c>
      <c r="C14" s="8">
        <f>(E5/2-((E5*E6)/2)-E7)</f>
        <v>0.27500000000000002</v>
      </c>
      <c r="D14" s="77">
        <v>550</v>
      </c>
      <c r="E14" s="6">
        <f>C14*D14</f>
        <v>151.25</v>
      </c>
      <c r="F14" s="18" t="s">
        <v>13</v>
      </c>
      <c r="G14" s="78">
        <v>2.4500000000000002</v>
      </c>
      <c r="H14" s="4">
        <f>E14*G14</f>
        <v>370.5625</v>
      </c>
    </row>
    <row r="15" spans="1:8" x14ac:dyDescent="0.2">
      <c r="A15" t="s">
        <v>30</v>
      </c>
      <c r="C15" s="8">
        <f>E7-E8</f>
        <v>0.13999999999999999</v>
      </c>
      <c r="D15" s="77">
        <v>1300</v>
      </c>
      <c r="E15" s="6">
        <f>C15*D15</f>
        <v>181.99999999999997</v>
      </c>
      <c r="F15" s="18" t="s">
        <v>13</v>
      </c>
      <c r="G15" s="78">
        <v>0.85</v>
      </c>
      <c r="H15" s="4">
        <f>E15*G15</f>
        <v>154.69999999999996</v>
      </c>
    </row>
    <row r="16" spans="1:8" x14ac:dyDescent="0.2">
      <c r="A16" s="1" t="s">
        <v>14</v>
      </c>
      <c r="E16" t="s">
        <v>2</v>
      </c>
      <c r="F16" s="18" t="s">
        <v>2</v>
      </c>
      <c r="G16" s="4" t="s">
        <v>2</v>
      </c>
      <c r="H16" s="4">
        <f>SUM(H13:H15)</f>
        <v>1172.85625</v>
      </c>
    </row>
    <row r="17" spans="1:8" x14ac:dyDescent="0.2">
      <c r="A17" s="104" t="s">
        <v>2</v>
      </c>
      <c r="B17" s="104"/>
      <c r="C17" s="104"/>
      <c r="D17" s="104"/>
      <c r="E17" s="104"/>
      <c r="F17" s="104"/>
      <c r="G17" s="104"/>
      <c r="H17" s="104"/>
    </row>
    <row r="18" spans="1:8" s="1" customFormat="1" x14ac:dyDescent="0.2">
      <c r="A18" s="1" t="s">
        <v>15</v>
      </c>
    </row>
    <row r="19" spans="1:8" x14ac:dyDescent="0.2">
      <c r="A19" s="13" t="s">
        <v>31</v>
      </c>
      <c r="B19" s="13"/>
      <c r="E19" s="80">
        <v>2</v>
      </c>
      <c r="F19" s="18" t="s">
        <v>16</v>
      </c>
      <c r="G19" s="81">
        <v>40</v>
      </c>
      <c r="H19" s="4">
        <f t="shared" ref="H19:H28" si="0">E19*G19</f>
        <v>80</v>
      </c>
    </row>
    <row r="20" spans="1:8" x14ac:dyDescent="0.2">
      <c r="A20" t="s">
        <v>32</v>
      </c>
      <c r="C20" t="s">
        <v>2</v>
      </c>
      <c r="E20" s="80">
        <v>3</v>
      </c>
      <c r="F20" s="18" t="s">
        <v>17</v>
      </c>
      <c r="G20" s="81">
        <v>90</v>
      </c>
      <c r="H20" s="4">
        <f t="shared" si="0"/>
        <v>270</v>
      </c>
    </row>
    <row r="21" spans="1:8" x14ac:dyDescent="0.2">
      <c r="A21" t="s">
        <v>33</v>
      </c>
      <c r="D21" t="s">
        <v>2</v>
      </c>
      <c r="E21" s="80">
        <v>0</v>
      </c>
      <c r="F21" s="51" t="s">
        <v>13</v>
      </c>
      <c r="G21" s="81">
        <v>0</v>
      </c>
      <c r="H21" s="4">
        <f t="shared" si="0"/>
        <v>0</v>
      </c>
    </row>
    <row r="22" spans="1:8" x14ac:dyDescent="0.2">
      <c r="A22" s="13" t="s">
        <v>34</v>
      </c>
      <c r="B22" s="13"/>
      <c r="D22" t="s">
        <v>2</v>
      </c>
      <c r="E22" s="80">
        <v>91.25</v>
      </c>
      <c r="F22" s="18" t="s">
        <v>13</v>
      </c>
      <c r="G22" s="81">
        <v>0.4</v>
      </c>
      <c r="H22" s="4">
        <f t="shared" si="0"/>
        <v>36.5</v>
      </c>
    </row>
    <row r="23" spans="1:8" x14ac:dyDescent="0.2">
      <c r="A23" s="13" t="s">
        <v>35</v>
      </c>
      <c r="B23" s="13"/>
      <c r="D23" t="s">
        <v>2</v>
      </c>
      <c r="E23" s="6">
        <v>1</v>
      </c>
      <c r="F23" s="18" t="s">
        <v>39</v>
      </c>
      <c r="G23" s="81">
        <v>30</v>
      </c>
      <c r="H23" s="4">
        <f t="shared" si="0"/>
        <v>30</v>
      </c>
    </row>
    <row r="24" spans="1:8" x14ac:dyDescent="0.2">
      <c r="A24" t="s">
        <v>44</v>
      </c>
      <c r="C24" t="s">
        <v>2</v>
      </c>
      <c r="D24" t="s">
        <v>2</v>
      </c>
      <c r="E24" s="6">
        <v>1</v>
      </c>
      <c r="F24" s="18" t="s">
        <v>39</v>
      </c>
      <c r="G24" s="81">
        <v>50</v>
      </c>
      <c r="H24" s="4">
        <f t="shared" si="0"/>
        <v>50</v>
      </c>
    </row>
    <row r="25" spans="1:8" x14ac:dyDescent="0.2">
      <c r="A25" t="s">
        <v>36</v>
      </c>
      <c r="C25" t="s">
        <v>2</v>
      </c>
      <c r="D25" t="s">
        <v>2</v>
      </c>
      <c r="E25" s="5">
        <v>1</v>
      </c>
      <c r="F25" s="18" t="s">
        <v>39</v>
      </c>
      <c r="G25" s="81">
        <v>40</v>
      </c>
      <c r="H25" s="4">
        <f>E25*G25</f>
        <v>40</v>
      </c>
    </row>
    <row r="26" spans="1:8" x14ac:dyDescent="0.2">
      <c r="A26" s="13" t="s">
        <v>37</v>
      </c>
      <c r="B26" s="13"/>
      <c r="C26" s="13"/>
      <c r="E26" s="5">
        <f>E7</f>
        <v>0.15</v>
      </c>
      <c r="F26" s="18" t="s">
        <v>39</v>
      </c>
      <c r="G26" s="43">
        <f>'Replacement Beef Heifer'!H37</f>
        <v>451.07499999999999</v>
      </c>
      <c r="H26" s="4">
        <f t="shared" si="0"/>
        <v>67.661249999999995</v>
      </c>
    </row>
    <row r="27" spans="1:8" x14ac:dyDescent="0.2">
      <c r="A27" s="18" t="s">
        <v>152</v>
      </c>
      <c r="B27" s="18"/>
      <c r="C27" s="18"/>
      <c r="E27" s="6">
        <v>1</v>
      </c>
      <c r="F27" s="18" t="s">
        <v>39</v>
      </c>
      <c r="G27" s="81">
        <v>40</v>
      </c>
      <c r="H27" s="4">
        <f t="shared" si="0"/>
        <v>40</v>
      </c>
    </row>
    <row r="28" spans="1:8" x14ac:dyDescent="0.2">
      <c r="A28" s="79" t="s">
        <v>38</v>
      </c>
      <c r="B28" s="79"/>
      <c r="C28" s="79"/>
      <c r="D28" t="s">
        <v>2</v>
      </c>
      <c r="E28" s="80">
        <v>1</v>
      </c>
      <c r="F28" s="18" t="s">
        <v>39</v>
      </c>
      <c r="G28" s="81">
        <v>15</v>
      </c>
      <c r="H28" s="4">
        <f t="shared" si="0"/>
        <v>15</v>
      </c>
    </row>
    <row r="29" spans="1:8" x14ac:dyDescent="0.2">
      <c r="A29" s="13" t="s">
        <v>79</v>
      </c>
      <c r="B29" s="13"/>
      <c r="C29" s="13"/>
      <c r="E29" s="4">
        <f>SUM(H19:H28)</f>
        <v>629.16125</v>
      </c>
      <c r="F29" s="18" t="s">
        <v>40</v>
      </c>
      <c r="G29" s="76">
        <v>0.08</v>
      </c>
      <c r="H29" s="4">
        <f>(10/12)*G29*E29</f>
        <v>41.944083333333332</v>
      </c>
    </row>
    <row r="30" spans="1:8" x14ac:dyDescent="0.2">
      <c r="A30" s="19" t="s">
        <v>47</v>
      </c>
      <c r="B30" s="19"/>
      <c r="C30" s="19"/>
      <c r="H30" s="4">
        <f>SUM(H19:H29)</f>
        <v>671.10533333333331</v>
      </c>
    </row>
    <row r="31" spans="1:8" x14ac:dyDescent="0.2">
      <c r="H31" s="4"/>
    </row>
    <row r="32" spans="1:8" x14ac:dyDescent="0.2">
      <c r="A32" s="133" t="s">
        <v>18</v>
      </c>
      <c r="B32" s="133"/>
      <c r="C32" s="133"/>
      <c r="D32" s="133"/>
      <c r="E32" s="133"/>
      <c r="H32" s="4">
        <f>H16-H30</f>
        <v>501.75091666666674</v>
      </c>
    </row>
    <row r="33" spans="1:8" x14ac:dyDescent="0.2">
      <c r="A33" s="103"/>
      <c r="B33" s="103"/>
      <c r="C33" s="103"/>
      <c r="D33" s="103"/>
      <c r="E33" s="103"/>
      <c r="F33" s="103"/>
      <c r="G33" s="103"/>
      <c r="H33" s="103"/>
    </row>
    <row r="34" spans="1:8" x14ac:dyDescent="0.2">
      <c r="A34" s="133" t="s">
        <v>23</v>
      </c>
      <c r="B34" s="133"/>
      <c r="C34" s="133"/>
    </row>
    <row r="35" spans="1:8" x14ac:dyDescent="0.2">
      <c r="A35" t="s">
        <v>41</v>
      </c>
      <c r="H35" s="81">
        <v>150</v>
      </c>
    </row>
    <row r="36" spans="1:8" x14ac:dyDescent="0.2">
      <c r="A36" s="13" t="s">
        <v>42</v>
      </c>
      <c r="B36" s="13"/>
      <c r="H36" s="81">
        <v>30</v>
      </c>
    </row>
    <row r="37" spans="1:8" x14ac:dyDescent="0.2">
      <c r="A37" s="13" t="s">
        <v>43</v>
      </c>
      <c r="B37" s="13"/>
      <c r="C37" s="13"/>
      <c r="E37" s="80">
        <v>0</v>
      </c>
      <c r="F37" s="18" t="s">
        <v>45</v>
      </c>
      <c r="G37" s="81">
        <v>20</v>
      </c>
      <c r="H37" s="4">
        <f>E37*G37</f>
        <v>0</v>
      </c>
    </row>
    <row r="38" spans="1:8" x14ac:dyDescent="0.2">
      <c r="A38" s="19" t="s">
        <v>69</v>
      </c>
      <c r="B38" s="19"/>
      <c r="C38" s="19"/>
      <c r="H38" s="4">
        <f>SUM(H35:H37)</f>
        <v>180</v>
      </c>
    </row>
    <row r="39" spans="1:8" ht="9" customHeight="1" x14ac:dyDescent="0.2">
      <c r="H39" s="4"/>
    </row>
    <row r="40" spans="1:8" x14ac:dyDescent="0.2">
      <c r="A40" s="133" t="s">
        <v>48</v>
      </c>
      <c r="B40" s="133"/>
      <c r="H40" s="4">
        <f>H30+H38</f>
        <v>851.10533333333331</v>
      </c>
    </row>
    <row r="41" spans="1:8" x14ac:dyDescent="0.2">
      <c r="H41" s="4"/>
    </row>
    <row r="42" spans="1:8" x14ac:dyDescent="0.2">
      <c r="A42" s="133" t="s">
        <v>27</v>
      </c>
      <c r="B42" s="133"/>
      <c r="C42" s="133"/>
      <c r="D42" s="133"/>
      <c r="E42" s="133"/>
      <c r="H42" s="4">
        <f>H16-H40</f>
        <v>321.75091666666674</v>
      </c>
    </row>
    <row r="43" spans="1:8" x14ac:dyDescent="0.2">
      <c r="A43" s="1"/>
      <c r="H43" s="4"/>
    </row>
    <row r="44" spans="1:8" x14ac:dyDescent="0.2">
      <c r="A44" s="134" t="s">
        <v>19</v>
      </c>
      <c r="B44" s="135"/>
      <c r="C44" s="135"/>
      <c r="D44" s="135"/>
      <c r="E44" s="135"/>
      <c r="F44" s="135"/>
      <c r="G44" s="136"/>
      <c r="H44" s="4"/>
    </row>
    <row r="45" spans="1:8" x14ac:dyDescent="0.2">
      <c r="A45" s="68" t="s">
        <v>20</v>
      </c>
      <c r="B45" s="70">
        <f>H30/H16*G15</f>
        <v>0.48636781645946231</v>
      </c>
      <c r="C45" s="71" t="s">
        <v>21</v>
      </c>
      <c r="D45" s="70">
        <f>H30/H16*G14</f>
        <v>1.4018837062655092</v>
      </c>
      <c r="E45" s="69" t="s">
        <v>22</v>
      </c>
      <c r="F45" s="82">
        <f>(H30/H16)*G13</f>
        <v>1.5163231924912648</v>
      </c>
      <c r="G45" s="83"/>
    </row>
    <row r="46" spans="1:8" x14ac:dyDescent="0.2">
      <c r="A46" s="65" t="s">
        <v>24</v>
      </c>
      <c r="B46" s="66"/>
      <c r="C46" s="66"/>
      <c r="D46" s="66"/>
      <c r="E46" s="66"/>
      <c r="F46" s="66"/>
      <c r="G46" s="67"/>
    </row>
    <row r="47" spans="1:8" x14ac:dyDescent="0.2">
      <c r="A47" s="84" t="s">
        <v>25</v>
      </c>
      <c r="B47" s="70">
        <f>(H40/H16)*G15</f>
        <v>0.61681858568203329</v>
      </c>
      <c r="C47" s="71" t="s">
        <v>21</v>
      </c>
      <c r="D47" s="70">
        <f>(H40/H16)*G14</f>
        <v>1.7778888646129196</v>
      </c>
      <c r="E47" s="71" t="s">
        <v>26</v>
      </c>
      <c r="F47" s="82">
        <f>(H40/H16)*G13</f>
        <v>1.9230226494792801</v>
      </c>
      <c r="G47" s="83"/>
    </row>
    <row r="49" spans="1:8" x14ac:dyDescent="0.2">
      <c r="A49" s="137"/>
      <c r="B49" s="137"/>
      <c r="C49" s="137"/>
      <c r="D49" s="137"/>
      <c r="E49" s="137"/>
      <c r="F49" s="137"/>
      <c r="G49" s="137"/>
      <c r="H49" s="137"/>
    </row>
  </sheetData>
  <sheetProtection algorithmName="SHA-512" hashValue="mzHu6hCl1huL4qDUxml5hS7+9H6trNe7H7nne0PZj3fM8PJwvHhBHMFcX+Fkn89JsoDpTtM15B74f0kZ1CCbHg==" saltValue="YOP+oN+uBJtr9p/QAQJrgQ==" spinCount="100000" sheet="1" formatColumns="0"/>
  <protectedRanges>
    <protectedRange sqref="E28" name="Range11"/>
    <protectedRange sqref="G37" name="Range9"/>
    <protectedRange sqref="E37" name="Range8"/>
    <protectedRange sqref="H35:H36" name="Range7"/>
    <protectedRange sqref="G27:G29" name="Range6"/>
    <protectedRange sqref="G19:G25" name="Range5"/>
    <protectedRange sqref="E19:E22" name="Range4"/>
    <protectedRange sqref="G13:G15" name="Range3"/>
    <protectedRange sqref="D13:D15" name="Range2"/>
    <protectedRange sqref="E5:E8" name="Range1"/>
    <protectedRange sqref="A28" name="Range10"/>
  </protectedRanges>
  <mergeCells count="12">
    <mergeCell ref="A49:H49"/>
    <mergeCell ref="A40:B40"/>
    <mergeCell ref="A42:E42"/>
    <mergeCell ref="A44:G44"/>
    <mergeCell ref="A32:E32"/>
    <mergeCell ref="A34:C34"/>
    <mergeCell ref="A11:C11"/>
    <mergeCell ref="A1:H1"/>
    <mergeCell ref="A5:C5"/>
    <mergeCell ref="A6:C6"/>
    <mergeCell ref="A7:C7"/>
    <mergeCell ref="A8:C8"/>
  </mergeCells>
  <phoneticPr fontId="0" type="noConversion"/>
  <pageMargins left="0.75" right="0.75" top="1" bottom="0.5" header="0.5" footer="0.5"/>
  <pageSetup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autoPageBreaks="0"/>
  </sheetPr>
  <dimension ref="A1:H41"/>
  <sheetViews>
    <sheetView showGridLines="0" showRowColHeaders="0" zoomScaleNormal="100" workbookViewId="0">
      <selection activeCell="H4" sqref="H4"/>
    </sheetView>
  </sheetViews>
  <sheetFormatPr defaultRowHeight="12.75" x14ac:dyDescent="0.2"/>
  <cols>
    <col min="3" max="3" width="10.42578125" customWidth="1"/>
    <col min="6" max="6" width="9.140625" style="18" customWidth="1"/>
  </cols>
  <sheetData>
    <row r="1" spans="1:8" ht="15.75" x14ac:dyDescent="0.25">
      <c r="A1" s="132" t="s">
        <v>98</v>
      </c>
      <c r="B1" s="132"/>
      <c r="C1" s="132"/>
      <c r="D1" s="132"/>
      <c r="E1" s="132"/>
      <c r="F1" s="132"/>
      <c r="G1" s="132"/>
      <c r="H1" s="132"/>
    </row>
    <row r="2" spans="1:8" ht="15.75" x14ac:dyDescent="0.25">
      <c r="A2" s="132" t="s">
        <v>102</v>
      </c>
      <c r="B2" s="132"/>
      <c r="C2" s="132"/>
      <c r="D2" s="132"/>
      <c r="E2" s="132"/>
      <c r="F2" s="132"/>
    </row>
    <row r="3" spans="1:8" ht="15" x14ac:dyDescent="0.25">
      <c r="A3" s="45" t="s">
        <v>177</v>
      </c>
      <c r="B3" s="1"/>
      <c r="C3" s="1"/>
    </row>
    <row r="4" spans="1:8" x14ac:dyDescent="0.2">
      <c r="A4" s="1"/>
    </row>
    <row r="5" spans="1:8" x14ac:dyDescent="0.2">
      <c r="A5" s="1"/>
    </row>
    <row r="6" spans="1:8" x14ac:dyDescent="0.2">
      <c r="A6" s="133" t="s">
        <v>70</v>
      </c>
      <c r="B6" s="133"/>
      <c r="C6" s="133"/>
      <c r="D6" s="133"/>
      <c r="G6" t="s">
        <v>2</v>
      </c>
      <c r="H6" t="s">
        <v>2</v>
      </c>
    </row>
    <row r="8" spans="1:8" x14ac:dyDescent="0.2">
      <c r="A8" t="s">
        <v>2</v>
      </c>
      <c r="B8" t="s">
        <v>2</v>
      </c>
      <c r="C8" t="s">
        <v>2</v>
      </c>
      <c r="D8" t="s">
        <v>2</v>
      </c>
      <c r="E8" s="2" t="s">
        <v>3</v>
      </c>
      <c r="F8" s="16" t="s">
        <v>4</v>
      </c>
      <c r="G8" s="2" t="s">
        <v>5</v>
      </c>
      <c r="H8" s="2" t="s">
        <v>6</v>
      </c>
    </row>
    <row r="9" spans="1:8" x14ac:dyDescent="0.2">
      <c r="A9" t="s">
        <v>2</v>
      </c>
      <c r="B9" t="s">
        <v>2</v>
      </c>
      <c r="C9" t="s">
        <v>2</v>
      </c>
      <c r="D9" t="s">
        <v>2</v>
      </c>
      <c r="E9" t="s">
        <v>2</v>
      </c>
      <c r="F9" s="18" t="s">
        <v>2</v>
      </c>
      <c r="G9" t="s">
        <v>2</v>
      </c>
      <c r="H9" t="s">
        <v>2</v>
      </c>
    </row>
    <row r="10" spans="1:8" x14ac:dyDescent="0.2">
      <c r="A10" s="19" t="s">
        <v>71</v>
      </c>
      <c r="B10" s="19"/>
      <c r="C10" s="19"/>
      <c r="D10" s="19"/>
      <c r="F10" s="18" t="s">
        <v>2</v>
      </c>
      <c r="G10" t="s">
        <v>2</v>
      </c>
      <c r="H10" s="3" t="s">
        <v>72</v>
      </c>
    </row>
    <row r="12" spans="1:8" x14ac:dyDescent="0.2">
      <c r="A12" s="138" t="s">
        <v>2</v>
      </c>
      <c r="B12" s="138"/>
      <c r="C12" s="138"/>
      <c r="D12" s="138"/>
      <c r="E12" s="138"/>
      <c r="F12" s="138"/>
      <c r="G12" s="138"/>
      <c r="H12" s="138"/>
    </row>
    <row r="13" spans="1:8" x14ac:dyDescent="0.2">
      <c r="A13" s="133" t="s">
        <v>73</v>
      </c>
      <c r="B13" s="133"/>
      <c r="C13" s="133"/>
    </row>
    <row r="14" spans="1:8" x14ac:dyDescent="0.2">
      <c r="A14" s="117" t="s">
        <v>55</v>
      </c>
      <c r="B14" s="117"/>
      <c r="E14" s="56">
        <v>1</v>
      </c>
      <c r="F14" s="18" t="s">
        <v>16</v>
      </c>
      <c r="G14" s="85">
        <v>40</v>
      </c>
      <c r="H14" s="11">
        <f>E14*G14</f>
        <v>40</v>
      </c>
    </row>
    <row r="15" spans="1:8" x14ac:dyDescent="0.2">
      <c r="A15" t="s">
        <v>56</v>
      </c>
      <c r="C15" t="s">
        <v>2</v>
      </c>
      <c r="E15" s="56">
        <v>1</v>
      </c>
      <c r="F15" s="18" t="s">
        <v>17</v>
      </c>
      <c r="G15" s="85">
        <v>90</v>
      </c>
      <c r="H15" s="11">
        <f t="shared" ref="H15:H22" si="0">E15*G15</f>
        <v>90</v>
      </c>
    </row>
    <row r="16" spans="1:8" x14ac:dyDescent="0.2">
      <c r="A16" t="s">
        <v>57</v>
      </c>
      <c r="D16" t="s">
        <v>2</v>
      </c>
      <c r="E16" s="10">
        <v>1000</v>
      </c>
      <c r="F16" s="51" t="s">
        <v>13</v>
      </c>
      <c r="G16" s="85">
        <v>0.14000000000000001</v>
      </c>
      <c r="H16" s="11">
        <f t="shared" si="0"/>
        <v>140</v>
      </c>
    </row>
    <row r="17" spans="1:8" x14ac:dyDescent="0.2">
      <c r="A17" s="13" t="s">
        <v>81</v>
      </c>
      <c r="B17" s="13"/>
      <c r="E17" s="10">
        <v>0</v>
      </c>
      <c r="F17" s="18" t="s">
        <v>13</v>
      </c>
      <c r="G17" s="85">
        <v>0.2</v>
      </c>
      <c r="H17" s="11">
        <f t="shared" si="0"/>
        <v>0</v>
      </c>
    </row>
    <row r="18" spans="1:8" x14ac:dyDescent="0.2">
      <c r="A18" s="13" t="s">
        <v>58</v>
      </c>
      <c r="B18" s="13"/>
      <c r="D18" t="s">
        <v>2</v>
      </c>
      <c r="E18" s="10">
        <v>91.25</v>
      </c>
      <c r="F18" s="18" t="s">
        <v>13</v>
      </c>
      <c r="G18" s="85">
        <v>0.4</v>
      </c>
      <c r="H18" s="11">
        <f t="shared" si="0"/>
        <v>36.5</v>
      </c>
    </row>
    <row r="19" spans="1:8" x14ac:dyDescent="0.2">
      <c r="A19" s="13" t="s">
        <v>59</v>
      </c>
      <c r="B19" s="13"/>
      <c r="D19" t="s">
        <v>2</v>
      </c>
      <c r="E19" s="10">
        <v>1</v>
      </c>
      <c r="F19" s="18" t="s">
        <v>39</v>
      </c>
      <c r="G19" s="85">
        <v>50</v>
      </c>
      <c r="H19" s="11">
        <f t="shared" si="0"/>
        <v>50</v>
      </c>
    </row>
    <row r="20" spans="1:8" x14ac:dyDescent="0.2">
      <c r="A20" t="s">
        <v>60</v>
      </c>
      <c r="C20" t="s">
        <v>2</v>
      </c>
      <c r="D20" t="s">
        <v>2</v>
      </c>
      <c r="E20" s="10">
        <v>1</v>
      </c>
      <c r="F20" s="18" t="s">
        <v>39</v>
      </c>
      <c r="G20" s="85">
        <v>0</v>
      </c>
      <c r="H20" s="11">
        <f t="shared" si="0"/>
        <v>0</v>
      </c>
    </row>
    <row r="21" spans="1:8" x14ac:dyDescent="0.2">
      <c r="A21" s="13" t="s">
        <v>63</v>
      </c>
      <c r="B21" s="13"/>
      <c r="C21" s="13"/>
      <c r="E21" s="10">
        <v>1</v>
      </c>
      <c r="F21" s="18" t="s">
        <v>39</v>
      </c>
      <c r="G21" s="85">
        <v>20</v>
      </c>
      <c r="H21" s="11">
        <f t="shared" si="0"/>
        <v>20</v>
      </c>
    </row>
    <row r="22" spans="1:8" x14ac:dyDescent="0.2">
      <c r="A22" s="79" t="s">
        <v>64</v>
      </c>
      <c r="B22" s="79"/>
      <c r="C22" s="79"/>
      <c r="D22" t="s">
        <v>2</v>
      </c>
      <c r="E22" s="77">
        <v>1</v>
      </c>
      <c r="F22" s="18" t="s">
        <v>39</v>
      </c>
      <c r="G22" s="85">
        <v>15</v>
      </c>
      <c r="H22" s="11">
        <f t="shared" si="0"/>
        <v>15</v>
      </c>
    </row>
    <row r="23" spans="1:8" x14ac:dyDescent="0.2">
      <c r="A23" s="13" t="s">
        <v>80</v>
      </c>
      <c r="B23" s="13"/>
      <c r="C23" s="13"/>
      <c r="E23" s="11">
        <f>SUM(H14:H22)</f>
        <v>391.5</v>
      </c>
      <c r="F23" s="18" t="s">
        <v>40</v>
      </c>
      <c r="G23" s="86">
        <v>0.05</v>
      </c>
      <c r="H23" s="11">
        <f>G23*E23</f>
        <v>19.575000000000003</v>
      </c>
    </row>
    <row r="24" spans="1:8" x14ac:dyDescent="0.2">
      <c r="A24" t="s">
        <v>2</v>
      </c>
      <c r="B24" t="s">
        <v>2</v>
      </c>
      <c r="C24" t="s">
        <v>2</v>
      </c>
      <c r="D24" t="s">
        <v>2</v>
      </c>
      <c r="E24" s="3" t="s">
        <v>2</v>
      </c>
      <c r="F24" s="18" t="s">
        <v>2</v>
      </c>
      <c r="G24" s="11" t="s">
        <v>2</v>
      </c>
      <c r="H24" s="11" t="s">
        <v>2</v>
      </c>
    </row>
    <row r="25" spans="1:8" x14ac:dyDescent="0.2">
      <c r="A25" s="19" t="s">
        <v>74</v>
      </c>
      <c r="B25" s="19"/>
      <c r="C25" s="19"/>
      <c r="D25" s="19"/>
      <c r="E25" s="3"/>
      <c r="G25" s="11"/>
      <c r="H25" s="11">
        <f>SUM(H14:H23)</f>
        <v>411.07499999999999</v>
      </c>
    </row>
    <row r="26" spans="1:8" x14ac:dyDescent="0.2">
      <c r="E26" s="3"/>
      <c r="G26" s="3"/>
      <c r="H26" s="3"/>
    </row>
    <row r="27" spans="1:8" x14ac:dyDescent="0.2">
      <c r="A27" s="133" t="s">
        <v>75</v>
      </c>
      <c r="B27" s="133"/>
      <c r="C27" s="133"/>
      <c r="D27" s="133"/>
      <c r="E27" s="133"/>
      <c r="G27" s="3"/>
      <c r="H27" s="3" t="s">
        <v>72</v>
      </c>
    </row>
    <row r="28" spans="1:8" x14ac:dyDescent="0.2">
      <c r="A28" s="103"/>
      <c r="B28" s="103"/>
      <c r="C28" s="103"/>
      <c r="D28" s="103"/>
      <c r="E28" s="103"/>
      <c r="F28" s="103"/>
      <c r="G28" s="103"/>
      <c r="H28" s="103"/>
    </row>
    <row r="29" spans="1:8" x14ac:dyDescent="0.2">
      <c r="A29" s="133" t="s">
        <v>76</v>
      </c>
      <c r="B29" s="133"/>
      <c r="C29" s="133"/>
    </row>
    <row r="30" spans="1:8" x14ac:dyDescent="0.2">
      <c r="A30" s="117" t="s">
        <v>65</v>
      </c>
      <c r="B30" s="117"/>
      <c r="G30" s="3"/>
      <c r="H30" s="85">
        <v>30</v>
      </c>
    </row>
    <row r="31" spans="1:8" x14ac:dyDescent="0.2">
      <c r="A31" s="13" t="s">
        <v>66</v>
      </c>
      <c r="B31" s="13"/>
      <c r="C31" s="13"/>
      <c r="G31" s="3"/>
      <c r="H31" s="85">
        <v>10</v>
      </c>
    </row>
    <row r="32" spans="1:8" x14ac:dyDescent="0.2">
      <c r="A32" s="13" t="s">
        <v>67</v>
      </c>
      <c r="B32" s="13"/>
      <c r="C32" s="13"/>
      <c r="E32" s="77">
        <v>0</v>
      </c>
      <c r="F32" s="18" t="s">
        <v>45</v>
      </c>
      <c r="G32" s="85">
        <v>20</v>
      </c>
      <c r="H32" s="11">
        <f>E32*G32</f>
        <v>0</v>
      </c>
    </row>
    <row r="33" spans="1:8" x14ac:dyDescent="0.2">
      <c r="G33" s="3"/>
      <c r="H33" s="11"/>
    </row>
    <row r="34" spans="1:8" x14ac:dyDescent="0.2">
      <c r="A34" s="133" t="s">
        <v>77</v>
      </c>
      <c r="B34" s="133"/>
      <c r="C34" s="133"/>
      <c r="G34" s="3"/>
      <c r="H34" s="11">
        <f>SUM(H30:H32)</f>
        <v>40</v>
      </c>
    </row>
    <row r="35" spans="1:8" x14ac:dyDescent="0.2">
      <c r="G35" s="3"/>
      <c r="H35" s="11"/>
    </row>
    <row r="36" spans="1:8" x14ac:dyDescent="0.2">
      <c r="G36" s="3"/>
      <c r="H36" s="11"/>
    </row>
    <row r="37" spans="1:8" x14ac:dyDescent="0.2">
      <c r="A37" s="133" t="s">
        <v>78</v>
      </c>
      <c r="B37" s="133"/>
      <c r="C37" s="133"/>
      <c r="G37" s="3"/>
      <c r="H37" s="11">
        <f>H25+H34</f>
        <v>451.07499999999999</v>
      </c>
    </row>
    <row r="38" spans="1:8" x14ac:dyDescent="0.2">
      <c r="A38" t="s">
        <v>2</v>
      </c>
      <c r="G38" s="3"/>
      <c r="H38" s="11" t="s">
        <v>2</v>
      </c>
    </row>
    <row r="39" spans="1:8" x14ac:dyDescent="0.2">
      <c r="A39" s="19" t="s">
        <v>27</v>
      </c>
      <c r="B39" s="19"/>
      <c r="C39" s="19"/>
      <c r="D39" s="19"/>
      <c r="E39" s="19"/>
      <c r="G39" s="3"/>
      <c r="H39" s="3" t="s">
        <v>72</v>
      </c>
    </row>
    <row r="41" spans="1:8" x14ac:dyDescent="0.2">
      <c r="A41" s="137"/>
      <c r="B41" s="137"/>
      <c r="C41" s="137"/>
      <c r="D41" s="137"/>
      <c r="E41" s="137"/>
      <c r="F41" s="137"/>
      <c r="G41" s="137"/>
      <c r="H41" s="137"/>
    </row>
  </sheetData>
  <sheetProtection formatColumns="0"/>
  <protectedRanges>
    <protectedRange sqref="E22" name="Range6"/>
    <protectedRange sqref="G14:G23" name="Range1"/>
    <protectedRange sqref="H30:H31" name="Range2"/>
    <protectedRange sqref="E32" name="Range3"/>
    <protectedRange sqref="G32" name="Range4"/>
    <protectedRange sqref="A22" name="Range5"/>
  </protectedRanges>
  <mergeCells count="12">
    <mergeCell ref="A41:H41"/>
    <mergeCell ref="A34:C34"/>
    <mergeCell ref="A37:C37"/>
    <mergeCell ref="A27:E27"/>
    <mergeCell ref="A29:C29"/>
    <mergeCell ref="A30:B30"/>
    <mergeCell ref="A12:H12"/>
    <mergeCell ref="A14:B14"/>
    <mergeCell ref="A1:H1"/>
    <mergeCell ref="A2:F2"/>
    <mergeCell ref="A6:D6"/>
    <mergeCell ref="A13:C13"/>
  </mergeCells>
  <phoneticPr fontId="0" type="noConversion"/>
  <pageMargins left="0.75" right="0.75" top="1" bottom="0.5" header="0.5" footer="0.5"/>
  <pageSetup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pageSetUpPr autoPageBreaks="0"/>
  </sheetPr>
  <dimension ref="A1:G53"/>
  <sheetViews>
    <sheetView zoomScaleNormal="100" workbookViewId="0">
      <selection activeCell="G2" sqref="G2"/>
    </sheetView>
  </sheetViews>
  <sheetFormatPr defaultRowHeight="12.75" x14ac:dyDescent="0.2"/>
  <cols>
    <col min="1" max="1" width="17" customWidth="1"/>
    <col min="4" max="4" width="4.28515625" customWidth="1"/>
    <col min="5" max="7" width="12.7109375" customWidth="1"/>
  </cols>
  <sheetData>
    <row r="1" spans="1:7" ht="15.75" x14ac:dyDescent="0.25">
      <c r="A1" s="143" t="s">
        <v>103</v>
      </c>
      <c r="B1" s="143"/>
      <c r="C1" s="143"/>
      <c r="D1" s="143"/>
      <c r="E1" s="143"/>
      <c r="F1" s="140"/>
      <c r="G1" s="140"/>
    </row>
    <row r="2" spans="1:7" x14ac:dyDescent="0.2">
      <c r="B2" s="25"/>
      <c r="C2" s="25"/>
      <c r="D2" s="25"/>
      <c r="E2" s="25"/>
      <c r="F2" s="25"/>
      <c r="G2" s="25"/>
    </row>
    <row r="3" spans="1:7" ht="15" x14ac:dyDescent="0.25">
      <c r="A3" s="46" t="s">
        <v>174</v>
      </c>
      <c r="B3" s="25"/>
      <c r="C3" s="25"/>
      <c r="D3" s="25"/>
      <c r="E3" s="25"/>
      <c r="F3" s="25"/>
      <c r="G3" s="25"/>
    </row>
    <row r="4" spans="1:7" ht="15" x14ac:dyDescent="0.25">
      <c r="A4" s="46" t="s">
        <v>175</v>
      </c>
      <c r="B4" s="25"/>
      <c r="C4" s="25"/>
      <c r="D4" s="25"/>
      <c r="E4" s="25"/>
      <c r="F4" s="25"/>
      <c r="G4" s="25"/>
    </row>
    <row r="5" spans="1:7" ht="15.75" x14ac:dyDescent="0.25">
      <c r="A5" s="26"/>
      <c r="B5" s="25"/>
      <c r="C5" s="25"/>
      <c r="D5" s="25"/>
      <c r="E5" s="25"/>
      <c r="F5" s="25"/>
      <c r="G5" s="25"/>
    </row>
    <row r="7" spans="1:7" ht="15" x14ac:dyDescent="0.25">
      <c r="E7" s="49" t="s">
        <v>104</v>
      </c>
      <c r="F7" s="49" t="s">
        <v>176</v>
      </c>
      <c r="G7" s="49" t="s">
        <v>176</v>
      </c>
    </row>
    <row r="8" spans="1:7" ht="15" x14ac:dyDescent="0.25">
      <c r="E8" s="49" t="s">
        <v>105</v>
      </c>
      <c r="F8" s="49" t="s">
        <v>106</v>
      </c>
      <c r="G8" s="49" t="s">
        <v>107</v>
      </c>
    </row>
    <row r="9" spans="1:7" x14ac:dyDescent="0.2">
      <c r="E9" s="18"/>
      <c r="F9" s="18"/>
      <c r="G9" s="18"/>
    </row>
    <row r="10" spans="1:7" x14ac:dyDescent="0.2">
      <c r="A10" s="117" t="s">
        <v>108</v>
      </c>
      <c r="B10" s="117"/>
      <c r="E10" s="88">
        <v>2.1</v>
      </c>
      <c r="F10" s="88">
        <v>1.5</v>
      </c>
      <c r="G10" s="88">
        <v>2</v>
      </c>
    </row>
    <row r="11" spans="1:7" x14ac:dyDescent="0.2">
      <c r="A11" t="s">
        <v>109</v>
      </c>
      <c r="B11" s="87">
        <v>450</v>
      </c>
      <c r="E11" s="18"/>
      <c r="F11" s="18"/>
      <c r="G11" s="18"/>
    </row>
    <row r="12" spans="1:7" x14ac:dyDescent="0.2">
      <c r="A12" t="s">
        <v>110</v>
      </c>
      <c r="B12" s="87">
        <v>750</v>
      </c>
      <c r="E12" s="18"/>
      <c r="F12" s="18"/>
      <c r="G12" s="18"/>
    </row>
    <row r="13" spans="1:7" x14ac:dyDescent="0.2">
      <c r="A13" t="s">
        <v>111</v>
      </c>
      <c r="E13" s="29">
        <f>(B12-B11)/E10</f>
        <v>142.85714285714286</v>
      </c>
      <c r="F13" s="29">
        <f>($B$12-$B$11)/F10</f>
        <v>200</v>
      </c>
      <c r="G13" s="29">
        <f>(B12-B11)/G10</f>
        <v>150</v>
      </c>
    </row>
    <row r="14" spans="1:7" x14ac:dyDescent="0.2">
      <c r="A14" s="106"/>
      <c r="B14" s="106"/>
      <c r="C14" s="106"/>
      <c r="D14" s="106"/>
      <c r="E14" s="106"/>
      <c r="F14" s="106"/>
      <c r="G14" s="106"/>
    </row>
    <row r="15" spans="1:7" x14ac:dyDescent="0.2">
      <c r="A15" s="144" t="s">
        <v>112</v>
      </c>
      <c r="B15" s="144"/>
      <c r="G15" s="18"/>
    </row>
    <row r="16" spans="1:7" x14ac:dyDescent="0.2">
      <c r="A16" t="s">
        <v>113</v>
      </c>
      <c r="B16" s="13" t="s">
        <v>82</v>
      </c>
      <c r="C16" s="13"/>
      <c r="E16" s="89">
        <v>0</v>
      </c>
      <c r="F16" s="89">
        <v>3</v>
      </c>
      <c r="G16" s="89">
        <v>7.5</v>
      </c>
    </row>
    <row r="17" spans="1:7" x14ac:dyDescent="0.2">
      <c r="B17" s="13" t="s">
        <v>94</v>
      </c>
      <c r="C17" s="13"/>
      <c r="E17" s="28"/>
      <c r="F17" s="28"/>
      <c r="G17" s="28"/>
    </row>
    <row r="18" spans="1:7" x14ac:dyDescent="0.2">
      <c r="B18" s="13" t="s">
        <v>114</v>
      </c>
      <c r="C18" s="13"/>
      <c r="E18" s="89">
        <v>0</v>
      </c>
      <c r="F18" s="89">
        <v>8.5</v>
      </c>
      <c r="G18" s="89">
        <v>6</v>
      </c>
    </row>
    <row r="19" spans="1:7" x14ac:dyDescent="0.2">
      <c r="B19" s="13" t="s">
        <v>115</v>
      </c>
      <c r="C19" s="13"/>
      <c r="E19" s="89">
        <v>40</v>
      </c>
      <c r="F19" s="89">
        <v>0</v>
      </c>
      <c r="G19" s="27"/>
    </row>
    <row r="20" spans="1:7" x14ac:dyDescent="0.2">
      <c r="B20" s="13" t="s">
        <v>116</v>
      </c>
      <c r="C20" s="13"/>
      <c r="E20" s="89">
        <v>1.5</v>
      </c>
      <c r="F20" s="89">
        <v>0.5</v>
      </c>
      <c r="G20" s="89">
        <v>1</v>
      </c>
    </row>
    <row r="21" spans="1:7" x14ac:dyDescent="0.2">
      <c r="A21" s="106"/>
      <c r="B21" s="106"/>
      <c r="C21" s="106"/>
      <c r="D21" s="106"/>
      <c r="E21" s="106"/>
      <c r="F21" s="106"/>
      <c r="G21" s="106"/>
    </row>
    <row r="22" spans="1:7" x14ac:dyDescent="0.2">
      <c r="A22" s="144" t="s">
        <v>117</v>
      </c>
      <c r="B22" s="144"/>
      <c r="C22" s="144"/>
      <c r="E22" s="130" t="s">
        <v>118</v>
      </c>
      <c r="F22" s="130"/>
      <c r="G22" s="130"/>
    </row>
    <row r="24" spans="1:7" x14ac:dyDescent="0.2">
      <c r="A24" s="142" t="s">
        <v>178</v>
      </c>
      <c r="B24" s="141"/>
      <c r="C24" s="90">
        <v>2.65</v>
      </c>
      <c r="E24" s="111">
        <f>+B11*C24</f>
        <v>1192.5</v>
      </c>
      <c r="F24" s="111">
        <f>+$B$11*$C$24</f>
        <v>1192.5</v>
      </c>
      <c r="G24" s="111">
        <f>+B11*C24</f>
        <v>1192.5</v>
      </c>
    </row>
    <row r="25" spans="1:7" x14ac:dyDescent="0.2">
      <c r="A25" s="141" t="s">
        <v>82</v>
      </c>
      <c r="B25" s="141"/>
      <c r="C25" s="90">
        <v>5</v>
      </c>
      <c r="E25" s="111">
        <f>(C25/56)*E16*E13</f>
        <v>0</v>
      </c>
      <c r="F25" s="111">
        <f>($C$25/56)*F16*F13</f>
        <v>53.571428571428569</v>
      </c>
      <c r="G25" s="111">
        <f>(C25/56)*G16*G13</f>
        <v>100.44642857142858</v>
      </c>
    </row>
    <row r="26" spans="1:7" x14ac:dyDescent="0.2">
      <c r="A26" s="141" t="s">
        <v>56</v>
      </c>
      <c r="B26" s="141"/>
      <c r="C26" s="90">
        <v>90</v>
      </c>
      <c r="E26" s="111">
        <f>(C26/2000)*E18*E13</f>
        <v>0</v>
      </c>
      <c r="F26" s="111">
        <f>(C26/2000)*F18*F13</f>
        <v>76.5</v>
      </c>
      <c r="G26" s="111">
        <f>(C26/2000)*G18*G13</f>
        <v>40.5</v>
      </c>
    </row>
    <row r="27" spans="1:7" x14ac:dyDescent="0.2">
      <c r="A27" s="141" t="s">
        <v>115</v>
      </c>
      <c r="B27" s="141"/>
      <c r="C27" s="90">
        <v>35</v>
      </c>
      <c r="E27" s="111">
        <f>(C27/2000)*E19*E13</f>
        <v>100.00000000000001</v>
      </c>
      <c r="F27" s="111">
        <f>(C27/2000)*F19*F13</f>
        <v>0</v>
      </c>
      <c r="G27" s="111">
        <f>(C27/2000)*G19*G13</f>
        <v>0</v>
      </c>
    </row>
    <row r="28" spans="1:7" x14ac:dyDescent="0.2">
      <c r="A28" s="141" t="s">
        <v>151</v>
      </c>
      <c r="B28" s="141"/>
      <c r="C28" s="90">
        <v>0.18</v>
      </c>
      <c r="E28" s="111">
        <f>(C28*E20*E13)</f>
        <v>38.571428571428577</v>
      </c>
      <c r="F28" s="111">
        <f>(C28*F20*F13)</f>
        <v>18</v>
      </c>
      <c r="G28" s="111">
        <f>(C28*G20*G13)</f>
        <v>27</v>
      </c>
    </row>
    <row r="29" spans="1:7" x14ac:dyDescent="0.2">
      <c r="A29" s="141" t="s">
        <v>119</v>
      </c>
      <c r="B29" s="141"/>
      <c r="C29" s="90">
        <v>0.1</v>
      </c>
      <c r="E29" s="22"/>
      <c r="F29" s="111">
        <f>+$C$29*F13</f>
        <v>20</v>
      </c>
      <c r="G29" s="111">
        <f>+C29*G13</f>
        <v>15</v>
      </c>
    </row>
    <row r="30" spans="1:7" x14ac:dyDescent="0.2">
      <c r="A30" s="141" t="s">
        <v>120</v>
      </c>
      <c r="B30" s="141"/>
      <c r="C30" s="90">
        <v>0.15</v>
      </c>
      <c r="E30" s="111">
        <f>C30*E13</f>
        <v>21.428571428571427</v>
      </c>
      <c r="F30" s="22"/>
      <c r="G30" s="22"/>
    </row>
    <row r="31" spans="1:7" x14ac:dyDescent="0.2">
      <c r="A31" s="141" t="s">
        <v>121</v>
      </c>
      <c r="B31" s="141"/>
      <c r="C31" s="90">
        <v>10</v>
      </c>
      <c r="E31" s="111">
        <f>C31</f>
        <v>10</v>
      </c>
      <c r="F31" s="111">
        <f>C31</f>
        <v>10</v>
      </c>
      <c r="G31" s="111">
        <f>C31</f>
        <v>10</v>
      </c>
    </row>
    <row r="32" spans="1:7" x14ac:dyDescent="0.2">
      <c r="A32" s="141" t="s">
        <v>122</v>
      </c>
      <c r="B32" s="141"/>
      <c r="C32" s="116">
        <v>0.08</v>
      </c>
      <c r="E32" s="111">
        <f>(E13/365)*C32*E24</f>
        <v>37.338551859099809</v>
      </c>
      <c r="F32" s="111">
        <f>(F13/365)*$C$32*F24</f>
        <v>52.273972602739725</v>
      </c>
      <c r="G32" s="111">
        <f>(G13/365)*C32*G24</f>
        <v>39.205479452054789</v>
      </c>
    </row>
    <row r="33" spans="1:7" x14ac:dyDescent="0.2">
      <c r="A33" s="142" t="s">
        <v>123</v>
      </c>
      <c r="B33" s="142"/>
      <c r="C33" s="91">
        <v>0.02</v>
      </c>
      <c r="E33" s="111">
        <f>+C33*(E24+E31)</f>
        <v>24.05</v>
      </c>
      <c r="F33" s="111">
        <f>+$C$33*(F24+F31)</f>
        <v>24.05</v>
      </c>
      <c r="G33" s="111">
        <f>+C33*(G24+G31)</f>
        <v>24.05</v>
      </c>
    </row>
    <row r="34" spans="1:7" x14ac:dyDescent="0.2">
      <c r="E34" s="22"/>
      <c r="F34" s="22"/>
      <c r="G34" s="22"/>
    </row>
    <row r="35" spans="1:7" x14ac:dyDescent="0.2">
      <c r="A35" s="117" t="s">
        <v>124</v>
      </c>
      <c r="B35" s="117"/>
      <c r="C35" s="117"/>
      <c r="D35" s="117"/>
      <c r="E35" s="111">
        <f>SUM(E25:E28)/E13</f>
        <v>0.97000000000000008</v>
      </c>
      <c r="F35" s="111">
        <f>SUM(F25:F28)/F13</f>
        <v>0.74035714285714282</v>
      </c>
      <c r="G35" s="111">
        <f>SUM(G25:G28)/G13</f>
        <v>1.1196428571428572</v>
      </c>
    </row>
    <row r="36" spans="1:7" x14ac:dyDescent="0.2">
      <c r="A36" s="117" t="s">
        <v>125</v>
      </c>
      <c r="B36" s="117"/>
      <c r="C36" s="117"/>
      <c r="D36" s="117"/>
      <c r="E36" s="111">
        <f>SUM(E25:E28)</f>
        <v>138.57142857142858</v>
      </c>
      <c r="F36" s="111">
        <f>SUM(F25:F28)</f>
        <v>148.07142857142856</v>
      </c>
      <c r="G36" s="111">
        <f>SUM(G25:G28)</f>
        <v>167.94642857142858</v>
      </c>
    </row>
    <row r="37" spans="1:7" x14ac:dyDescent="0.2">
      <c r="A37" s="117" t="s">
        <v>126</v>
      </c>
      <c r="B37" s="117"/>
      <c r="C37" s="117"/>
      <c r="D37" s="117"/>
      <c r="E37" s="111">
        <f>+E36/(B12-B11)</f>
        <v>0.46190476190476193</v>
      </c>
      <c r="F37" s="111">
        <f>+F36/($B$12-$B$11)</f>
        <v>0.49357142857142849</v>
      </c>
      <c r="G37" s="111">
        <f>+G36/(B12-B11)</f>
        <v>0.55982142857142858</v>
      </c>
    </row>
    <row r="38" spans="1:7" x14ac:dyDescent="0.2">
      <c r="E38" s="22"/>
      <c r="F38" s="22"/>
      <c r="G38" s="22"/>
    </row>
    <row r="39" spans="1:7" x14ac:dyDescent="0.2">
      <c r="A39" s="133" t="s">
        <v>127</v>
      </c>
      <c r="B39" s="133"/>
      <c r="C39" s="133"/>
      <c r="D39" s="133"/>
      <c r="E39" s="111">
        <f>SUM(E24:E33)</f>
        <v>1423.8885518590998</v>
      </c>
      <c r="F39" s="111">
        <f>SUM(F24:F33)</f>
        <v>1446.8954011741685</v>
      </c>
      <c r="G39" s="111">
        <f>SUM(G24:G33)</f>
        <v>1448.7019080234834</v>
      </c>
    </row>
    <row r="40" spans="1:7" x14ac:dyDescent="0.2">
      <c r="A40" s="1"/>
      <c r="E40" s="22"/>
      <c r="F40" s="22"/>
      <c r="G40" s="22"/>
    </row>
    <row r="41" spans="1:7" x14ac:dyDescent="0.2">
      <c r="A41" s="117" t="s">
        <v>128</v>
      </c>
      <c r="B41" s="117"/>
      <c r="C41" s="117"/>
      <c r="D41" s="117"/>
      <c r="E41" s="111">
        <f>E39-E24</f>
        <v>231.38855185909983</v>
      </c>
      <c r="F41" s="111">
        <f>F39-F24</f>
        <v>254.39540117416846</v>
      </c>
      <c r="G41" s="111">
        <f>G39-G24</f>
        <v>256.20190802348338</v>
      </c>
    </row>
    <row r="42" spans="1:7" x14ac:dyDescent="0.2">
      <c r="A42" s="13" t="s">
        <v>129</v>
      </c>
      <c r="B42" s="13"/>
      <c r="C42" s="13"/>
      <c r="D42" s="13"/>
      <c r="E42" s="111">
        <f>E25+E26+E27+E28+E31</f>
        <v>148.57142857142858</v>
      </c>
      <c r="F42" s="111">
        <f>F25+F26+F27+F28+F31</f>
        <v>158.07142857142856</v>
      </c>
      <c r="G42" s="111">
        <f>G25+G26+G27+G28+G31</f>
        <v>177.94642857142858</v>
      </c>
    </row>
    <row r="43" spans="1:7" x14ac:dyDescent="0.2">
      <c r="A43" s="13" t="s">
        <v>130</v>
      </c>
      <c r="B43" s="13"/>
      <c r="C43" s="13"/>
      <c r="D43" s="13"/>
      <c r="E43" s="111">
        <f>E24+E42</f>
        <v>1341.0714285714287</v>
      </c>
      <c r="F43" s="111">
        <f>F24+F42</f>
        <v>1350.5714285714284</v>
      </c>
      <c r="G43" s="111">
        <f>G24+G42</f>
        <v>1370.4464285714287</v>
      </c>
    </row>
    <row r="44" spans="1:7" x14ac:dyDescent="0.2">
      <c r="A44" s="19" t="s">
        <v>131</v>
      </c>
      <c r="B44" s="19"/>
      <c r="C44" s="19"/>
      <c r="D44" s="19"/>
      <c r="E44" s="111">
        <f>(E39-E24)/(B12-B11)</f>
        <v>0.77129517286366611</v>
      </c>
      <c r="F44" s="111">
        <f>(F39-F24)/($B$12-$B$11)</f>
        <v>0.84798467058056148</v>
      </c>
      <c r="G44" s="111">
        <f>(G39-G24)/(B12-B11)</f>
        <v>0.8540063600782779</v>
      </c>
    </row>
    <row r="45" spans="1:7" x14ac:dyDescent="0.2">
      <c r="A45" s="105" t="s">
        <v>132</v>
      </c>
      <c r="B45" s="105"/>
      <c r="C45" s="90">
        <v>2.2999999999999998</v>
      </c>
      <c r="E45" s="111">
        <f>C45*B12</f>
        <v>1724.9999999999998</v>
      </c>
      <c r="F45" s="111">
        <f>$C$45*$B$12</f>
        <v>1724.9999999999998</v>
      </c>
      <c r="G45" s="111">
        <f>C45*B12</f>
        <v>1724.9999999999998</v>
      </c>
    </row>
    <row r="46" spans="1:7" x14ac:dyDescent="0.2">
      <c r="E46" s="22"/>
      <c r="F46" s="22"/>
      <c r="G46" s="22"/>
    </row>
    <row r="47" spans="1:7" x14ac:dyDescent="0.2">
      <c r="A47" s="117" t="s">
        <v>133</v>
      </c>
      <c r="B47" s="117"/>
      <c r="C47" s="117"/>
      <c r="D47" s="117"/>
      <c r="E47" s="111">
        <f>+E45-E39</f>
        <v>301.11144814089994</v>
      </c>
      <c r="F47" s="111">
        <f>+F45-F39</f>
        <v>278.10459882583132</v>
      </c>
      <c r="G47" s="111">
        <f>+G45-G39</f>
        <v>276.29809197651639</v>
      </c>
    </row>
    <row r="48" spans="1:7" x14ac:dyDescent="0.2">
      <c r="E48" s="22"/>
      <c r="F48" s="22"/>
      <c r="G48" s="22"/>
    </row>
    <row r="49" spans="1:7" x14ac:dyDescent="0.2">
      <c r="A49" s="139" t="s">
        <v>134</v>
      </c>
      <c r="B49" s="139"/>
      <c r="C49" s="139"/>
      <c r="D49" s="24"/>
      <c r="E49" s="112">
        <f>E39/B12</f>
        <v>1.8985180691454664</v>
      </c>
      <c r="F49" s="112">
        <f>F39/$B$12</f>
        <v>1.9291938682322247</v>
      </c>
      <c r="G49" s="112">
        <f>G39/B12</f>
        <v>1.9316025440313112</v>
      </c>
    </row>
    <row r="50" spans="1:7" x14ac:dyDescent="0.2">
      <c r="E50" s="22"/>
      <c r="F50" s="22"/>
      <c r="G50" s="22"/>
    </row>
    <row r="51" spans="1:7" x14ac:dyDescent="0.2">
      <c r="A51" s="117" t="s">
        <v>135</v>
      </c>
      <c r="B51" s="117"/>
      <c r="C51" s="117"/>
      <c r="D51" s="117"/>
      <c r="E51" s="111">
        <f>E43/B12</f>
        <v>1.7880952380952382</v>
      </c>
      <c r="F51" s="111">
        <f>F43/$B$12</f>
        <v>1.8007619047619046</v>
      </c>
      <c r="G51" s="111">
        <f>G43/B12</f>
        <v>1.827261904761905</v>
      </c>
    </row>
    <row r="53" spans="1:7" x14ac:dyDescent="0.2">
      <c r="A53" s="137"/>
      <c r="B53" s="137"/>
      <c r="C53" s="137"/>
      <c r="D53" s="137"/>
      <c r="E53" s="137"/>
      <c r="F53" s="137"/>
      <c r="G53" s="137"/>
    </row>
  </sheetData>
  <protectedRanges>
    <protectedRange sqref="C24:C33" name="Range9"/>
    <protectedRange sqref="B11:B12" name="Range1"/>
    <protectedRange sqref="E10:G10" name="Range2"/>
    <protectedRange sqref="E16:G16" name="Range4"/>
    <protectedRange sqref="E18:G18" name="Range5"/>
    <protectedRange sqref="E19:F19" name="Range6"/>
    <protectedRange sqref="E20:G20" name="Range7"/>
    <protectedRange sqref="C45" name="Range8"/>
  </protectedRanges>
  <mergeCells count="25">
    <mergeCell ref="A39:D39"/>
    <mergeCell ref="A36:D36"/>
    <mergeCell ref="A35:D35"/>
    <mergeCell ref="A37:D37"/>
    <mergeCell ref="F1:G1"/>
    <mergeCell ref="A32:B32"/>
    <mergeCell ref="A33:B33"/>
    <mergeCell ref="A10:B10"/>
    <mergeCell ref="A31:B31"/>
    <mergeCell ref="A24:B24"/>
    <mergeCell ref="A25:B25"/>
    <mergeCell ref="E22:G22"/>
    <mergeCell ref="A1:E1"/>
    <mergeCell ref="A22:C22"/>
    <mergeCell ref="A15:B15"/>
    <mergeCell ref="A29:B29"/>
    <mergeCell ref="A30:B30"/>
    <mergeCell ref="A26:B26"/>
    <mergeCell ref="A27:B27"/>
    <mergeCell ref="A28:B28"/>
    <mergeCell ref="A53:G53"/>
    <mergeCell ref="A41:D41"/>
    <mergeCell ref="A51:D51"/>
    <mergeCell ref="A47:D47"/>
    <mergeCell ref="A49:C49"/>
  </mergeCells>
  <phoneticPr fontId="0" type="noConversion"/>
  <pageMargins left="0.75" right="0.5" top="1" bottom="0.25" header="0.5" footer="0.5"/>
  <pageSetup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7"/>
  <dimension ref="A1:P57"/>
  <sheetViews>
    <sheetView showGridLines="0" zoomScaleNormal="100" workbookViewId="0">
      <selection activeCell="F2" sqref="F2"/>
    </sheetView>
  </sheetViews>
  <sheetFormatPr defaultRowHeight="12.75" x14ac:dyDescent="0.2"/>
  <cols>
    <col min="1" max="1" width="26.85546875" customWidth="1"/>
    <col min="2" max="2" width="13.42578125" customWidth="1"/>
    <col min="3" max="3" width="14.28515625" customWidth="1"/>
    <col min="4" max="4" width="10.85546875" customWidth="1"/>
    <col min="5" max="5" width="10.7109375" customWidth="1"/>
    <col min="6" max="6" width="12.7109375" style="37" customWidth="1"/>
    <col min="7" max="7" width="9.140625" customWidth="1"/>
    <col min="11" max="11" width="18.5703125" customWidth="1"/>
    <col min="12" max="12" width="18" customWidth="1"/>
  </cols>
  <sheetData>
    <row r="1" spans="1:13" ht="15.75" x14ac:dyDescent="0.25">
      <c r="A1" s="132" t="s">
        <v>166</v>
      </c>
      <c r="B1" s="132"/>
      <c r="C1" s="44"/>
      <c r="D1" s="44"/>
      <c r="E1" s="18"/>
    </row>
    <row r="2" spans="1:13" ht="15" x14ac:dyDescent="0.25">
      <c r="B2" s="45"/>
      <c r="C2" s="45"/>
      <c r="D2" s="3"/>
      <c r="E2" s="18"/>
      <c r="J2" s="133"/>
      <c r="K2" s="133"/>
      <c r="M2" s="18"/>
    </row>
    <row r="3" spans="1:13" ht="15" x14ac:dyDescent="0.25">
      <c r="A3" s="45" t="s">
        <v>173</v>
      </c>
      <c r="B3" s="1"/>
      <c r="D3" s="3"/>
      <c r="E3" s="18"/>
      <c r="J3" s="1"/>
      <c r="K3" s="1"/>
      <c r="M3" s="18"/>
    </row>
    <row r="4" spans="1:13" x14ac:dyDescent="0.2">
      <c r="A4" s="1"/>
      <c r="B4" s="1"/>
      <c r="D4" s="3"/>
      <c r="E4" s="18"/>
      <c r="K4" s="130"/>
      <c r="L4" s="130"/>
      <c r="M4" s="130"/>
    </row>
    <row r="5" spans="1:13" x14ac:dyDescent="0.2">
      <c r="A5" s="1"/>
      <c r="B5" s="1"/>
      <c r="D5" s="3"/>
      <c r="E5" s="18"/>
      <c r="M5" s="18"/>
    </row>
    <row r="6" spans="1:13" x14ac:dyDescent="0.2">
      <c r="A6" s="1"/>
      <c r="B6" s="1"/>
      <c r="D6" s="3"/>
      <c r="E6" s="18"/>
      <c r="K6" s="13"/>
      <c r="L6" s="3"/>
      <c r="M6" s="13"/>
    </row>
    <row r="7" spans="1:13" x14ac:dyDescent="0.2">
      <c r="A7" s="19" t="s">
        <v>136</v>
      </c>
      <c r="B7" s="19"/>
      <c r="C7" s="92">
        <v>45397</v>
      </c>
      <c r="D7" s="16" t="s">
        <v>137</v>
      </c>
      <c r="E7" s="93">
        <v>45580</v>
      </c>
      <c r="K7" s="13"/>
      <c r="L7" s="23"/>
      <c r="M7" s="13"/>
    </row>
    <row r="8" spans="1:13" x14ac:dyDescent="0.2">
      <c r="A8" s="107"/>
      <c r="B8" s="107"/>
      <c r="C8" s="107"/>
      <c r="D8" s="107"/>
      <c r="E8" s="107"/>
      <c r="F8" s="107"/>
      <c r="K8" s="13"/>
      <c r="L8" s="23"/>
      <c r="M8" s="13"/>
    </row>
    <row r="9" spans="1:13" x14ac:dyDescent="0.2">
      <c r="B9" s="2"/>
      <c r="C9" s="16"/>
      <c r="D9" s="16"/>
      <c r="K9" s="13"/>
      <c r="L9" s="23"/>
      <c r="M9" s="13"/>
    </row>
    <row r="10" spans="1:13" x14ac:dyDescent="0.2">
      <c r="A10" s="1" t="s">
        <v>143</v>
      </c>
      <c r="B10" s="88">
        <v>1.4</v>
      </c>
      <c r="C10" s="13" t="s">
        <v>138</v>
      </c>
      <c r="D10" s="1"/>
      <c r="K10" s="1"/>
      <c r="M10" s="18"/>
    </row>
    <row r="11" spans="1:13" x14ac:dyDescent="0.2">
      <c r="A11" s="1" t="s">
        <v>144</v>
      </c>
      <c r="B11" s="29">
        <f>E7-C7</f>
        <v>183</v>
      </c>
      <c r="C11" s="13" t="s">
        <v>139</v>
      </c>
      <c r="L11" s="2"/>
      <c r="M11" s="16"/>
    </row>
    <row r="12" spans="1:13" x14ac:dyDescent="0.2">
      <c r="A12" s="1" t="s">
        <v>145</v>
      </c>
      <c r="B12" s="18">
        <f>B24+B11*B10</f>
        <v>706.2</v>
      </c>
      <c r="C12" s="13" t="s">
        <v>138</v>
      </c>
      <c r="K12" s="133"/>
      <c r="L12" s="133"/>
      <c r="M12" s="133"/>
    </row>
    <row r="13" spans="1:13" x14ac:dyDescent="0.2">
      <c r="A13" s="1" t="s">
        <v>146</v>
      </c>
      <c r="B13" s="18">
        <f>B10*B11</f>
        <v>256.2</v>
      </c>
      <c r="C13" s="13" t="s">
        <v>138</v>
      </c>
      <c r="K13" s="3"/>
      <c r="L13" s="30"/>
      <c r="M13" s="18"/>
    </row>
    <row r="14" spans="1:13" x14ac:dyDescent="0.2">
      <c r="A14" s="1" t="s">
        <v>147</v>
      </c>
      <c r="B14" s="94">
        <v>0.02</v>
      </c>
      <c r="C14" s="13"/>
      <c r="K14" s="3"/>
      <c r="L14" s="30"/>
      <c r="M14" s="18"/>
    </row>
    <row r="15" spans="1:13" x14ac:dyDescent="0.2">
      <c r="A15" s="1" t="s">
        <v>148</v>
      </c>
      <c r="B15" s="88">
        <v>60</v>
      </c>
      <c r="C15" s="13" t="s">
        <v>39</v>
      </c>
      <c r="K15" s="3"/>
      <c r="L15" s="23"/>
      <c r="M15" s="18"/>
    </row>
    <row r="16" spans="1:13" x14ac:dyDescent="0.2">
      <c r="A16" s="1" t="s">
        <v>149</v>
      </c>
      <c r="B16" s="88">
        <v>60</v>
      </c>
      <c r="C16" s="13" t="s">
        <v>140</v>
      </c>
      <c r="K16" s="1"/>
      <c r="L16" s="22"/>
      <c r="M16" s="18"/>
    </row>
    <row r="17" spans="1:13" x14ac:dyDescent="0.2">
      <c r="A17" s="1" t="s">
        <v>150</v>
      </c>
      <c r="B17" s="51">
        <f>B16/B15</f>
        <v>1</v>
      </c>
      <c r="C17" s="13" t="s">
        <v>165</v>
      </c>
      <c r="M17" s="18"/>
    </row>
    <row r="18" spans="1:13" x14ac:dyDescent="0.2">
      <c r="A18" s="108"/>
      <c r="B18" s="108"/>
      <c r="C18" s="108"/>
      <c r="D18" s="108"/>
      <c r="E18" s="108"/>
      <c r="F18" s="108"/>
      <c r="M18" s="18"/>
    </row>
    <row r="19" spans="1:13" x14ac:dyDescent="0.2">
      <c r="A19" s="1" t="s">
        <v>157</v>
      </c>
      <c r="B19" s="2" t="s">
        <v>3</v>
      </c>
      <c r="C19" s="16" t="s">
        <v>4</v>
      </c>
      <c r="D19" s="16" t="s">
        <v>5</v>
      </c>
      <c r="E19" s="16" t="s">
        <v>179</v>
      </c>
      <c r="F19" s="38" t="s">
        <v>153</v>
      </c>
      <c r="K19" s="133"/>
      <c r="L19" s="133"/>
      <c r="M19" s="133"/>
    </row>
    <row r="20" spans="1:13" x14ac:dyDescent="0.2">
      <c r="A20" s="17" t="s">
        <v>163</v>
      </c>
      <c r="B20">
        <f>B12</f>
        <v>706.2</v>
      </c>
      <c r="C20" s="18" t="s">
        <v>138</v>
      </c>
      <c r="D20" s="95">
        <v>2.2999999999999998</v>
      </c>
      <c r="E20" s="113">
        <f>B20*D20</f>
        <v>1624.26</v>
      </c>
      <c r="F20" s="54">
        <f>E20*B15</f>
        <v>97455.6</v>
      </c>
      <c r="K20" s="3"/>
      <c r="L20" s="14"/>
      <c r="M20" s="18"/>
    </row>
    <row r="21" spans="1:13" x14ac:dyDescent="0.2">
      <c r="A21" s="1" t="s">
        <v>14</v>
      </c>
      <c r="D21" s="18"/>
      <c r="E21" s="113">
        <f>SUM(E20:E20)</f>
        <v>1624.26</v>
      </c>
      <c r="F21" s="54">
        <f>SUM(F20:F20)</f>
        <v>97455.6</v>
      </c>
      <c r="J21" s="1"/>
      <c r="M21" s="18"/>
    </row>
    <row r="22" spans="1:13" x14ac:dyDescent="0.2">
      <c r="A22" s="110"/>
      <c r="B22" s="110"/>
      <c r="C22" s="110"/>
      <c r="D22" s="110"/>
      <c r="E22" s="110"/>
      <c r="F22" s="110"/>
      <c r="K22" s="133"/>
      <c r="L22" s="133"/>
      <c r="M22" s="133"/>
    </row>
    <row r="23" spans="1:13" x14ac:dyDescent="0.2">
      <c r="A23" s="1" t="s">
        <v>141</v>
      </c>
      <c r="D23" s="18"/>
      <c r="E23" s="18"/>
      <c r="F23" s="36"/>
      <c r="K23" s="1"/>
      <c r="L23" s="4"/>
      <c r="M23" s="18"/>
    </row>
    <row r="24" spans="1:13" x14ac:dyDescent="0.2">
      <c r="A24" s="17" t="s">
        <v>162</v>
      </c>
      <c r="B24" s="96">
        <v>450</v>
      </c>
      <c r="C24" s="21" t="s">
        <v>138</v>
      </c>
      <c r="D24" s="78">
        <v>2.7</v>
      </c>
      <c r="E24" s="41">
        <f t="shared" ref="E24:E31" si="0">B24*D24</f>
        <v>1215</v>
      </c>
      <c r="F24" s="55">
        <f>E24*B15</f>
        <v>72900</v>
      </c>
      <c r="K24" s="130"/>
      <c r="L24" s="130"/>
      <c r="M24" s="130"/>
    </row>
    <row r="25" spans="1:13" x14ac:dyDescent="0.2">
      <c r="A25" s="52" t="s">
        <v>55</v>
      </c>
      <c r="B25" s="97">
        <f>B17</f>
        <v>1</v>
      </c>
      <c r="C25" s="18" t="s">
        <v>16</v>
      </c>
      <c r="D25" s="78">
        <v>45</v>
      </c>
      <c r="E25" s="11">
        <f t="shared" si="0"/>
        <v>45</v>
      </c>
      <c r="F25" s="54">
        <f>E25*B15</f>
        <v>2700</v>
      </c>
      <c r="K25" s="133"/>
      <c r="L25" s="133"/>
      <c r="M25" s="133"/>
    </row>
    <row r="26" spans="1:13" x14ac:dyDescent="0.2">
      <c r="A26" t="s">
        <v>56</v>
      </c>
      <c r="B26" s="96">
        <v>0</v>
      </c>
      <c r="C26" s="18" t="s">
        <v>17</v>
      </c>
      <c r="D26" s="78">
        <v>90</v>
      </c>
      <c r="E26" s="11">
        <f t="shared" si="0"/>
        <v>0</v>
      </c>
      <c r="F26" s="54">
        <f>E26*B15</f>
        <v>0</v>
      </c>
      <c r="K26" s="3"/>
      <c r="L26" s="33"/>
      <c r="M26" s="18"/>
    </row>
    <row r="27" spans="1:13" x14ac:dyDescent="0.2">
      <c r="A27" t="s">
        <v>57</v>
      </c>
      <c r="B27" s="96">
        <v>0</v>
      </c>
      <c r="C27" s="51" t="s">
        <v>138</v>
      </c>
      <c r="D27" s="78">
        <v>0.1</v>
      </c>
      <c r="E27" s="11">
        <f t="shared" si="0"/>
        <v>0</v>
      </c>
      <c r="F27" s="54">
        <f>E27*B15</f>
        <v>0</v>
      </c>
      <c r="K27" s="3"/>
      <c r="L27" s="22"/>
      <c r="M27" s="18"/>
    </row>
    <row r="28" spans="1:13" x14ac:dyDescent="0.2">
      <c r="A28" t="s">
        <v>58</v>
      </c>
      <c r="B28" s="96">
        <v>50</v>
      </c>
      <c r="C28" s="18" t="s">
        <v>138</v>
      </c>
      <c r="D28" s="78">
        <v>0.4</v>
      </c>
      <c r="E28" s="11">
        <f t="shared" si="0"/>
        <v>20</v>
      </c>
      <c r="F28" s="54">
        <f>E28*B15</f>
        <v>1200</v>
      </c>
      <c r="K28" s="3"/>
      <c r="L28" s="22"/>
      <c r="M28" s="18"/>
    </row>
    <row r="29" spans="1:13" x14ac:dyDescent="0.2">
      <c r="A29" t="s">
        <v>59</v>
      </c>
      <c r="B29" s="3">
        <v>1</v>
      </c>
      <c r="C29" s="18" t="s">
        <v>39</v>
      </c>
      <c r="D29" s="78">
        <v>30</v>
      </c>
      <c r="E29" s="11">
        <f t="shared" si="0"/>
        <v>30</v>
      </c>
      <c r="F29" s="54">
        <f>E29*B15</f>
        <v>1800</v>
      </c>
      <c r="J29" s="145"/>
      <c r="K29" s="145"/>
      <c r="L29" s="22"/>
      <c r="M29" s="18"/>
    </row>
    <row r="30" spans="1:13" x14ac:dyDescent="0.2">
      <c r="A30" s="13" t="s">
        <v>61</v>
      </c>
      <c r="B30" s="3">
        <v>1</v>
      </c>
      <c r="C30" s="18" t="s">
        <v>39</v>
      </c>
      <c r="D30" s="50">
        <f>SUM(5+0.025*(E21))</f>
        <v>45.606500000000004</v>
      </c>
      <c r="E30" s="11">
        <f t="shared" si="0"/>
        <v>45.606500000000004</v>
      </c>
      <c r="F30" s="54">
        <f>E30*B15</f>
        <v>2736.3900000000003</v>
      </c>
      <c r="K30" s="1"/>
      <c r="L30" s="22"/>
      <c r="M30" s="18"/>
    </row>
    <row r="31" spans="1:13" x14ac:dyDescent="0.2">
      <c r="A31" t="s">
        <v>63</v>
      </c>
      <c r="B31" s="3">
        <v>1</v>
      </c>
      <c r="C31" s="18" t="s">
        <v>39</v>
      </c>
      <c r="D31" s="78">
        <v>20</v>
      </c>
      <c r="E31" s="11">
        <f t="shared" si="0"/>
        <v>20</v>
      </c>
      <c r="F31" s="54">
        <f>E31*B15</f>
        <v>1200</v>
      </c>
      <c r="K31" s="133"/>
      <c r="L31" s="133"/>
      <c r="M31" s="32"/>
    </row>
    <row r="32" spans="1:13" x14ac:dyDescent="0.2">
      <c r="A32" s="53" t="s">
        <v>161</v>
      </c>
      <c r="B32" s="3"/>
      <c r="C32" s="51"/>
      <c r="D32" s="13"/>
      <c r="E32" s="11">
        <f>B14*(E24+E29)</f>
        <v>24.900000000000002</v>
      </c>
      <c r="F32" s="54">
        <f>B14*(F24+F29)</f>
        <v>1494</v>
      </c>
      <c r="K32" s="19"/>
      <c r="L32" s="19"/>
      <c r="M32" s="32"/>
    </row>
    <row r="33" spans="1:16" x14ac:dyDescent="0.2">
      <c r="A33" s="79" t="s">
        <v>64</v>
      </c>
      <c r="B33" s="96">
        <v>1</v>
      </c>
      <c r="C33" s="18" t="s">
        <v>39</v>
      </c>
      <c r="D33" s="78">
        <v>10</v>
      </c>
      <c r="E33" s="11">
        <f>B33*D33</f>
        <v>10</v>
      </c>
      <c r="F33" s="54">
        <f>E33*B15</f>
        <v>600</v>
      </c>
    </row>
    <row r="34" spans="1:16" x14ac:dyDescent="0.2">
      <c r="A34" s="13" t="s">
        <v>80</v>
      </c>
      <c r="B34" s="113">
        <f>SUM(E24:E29)</f>
        <v>1310</v>
      </c>
      <c r="C34" s="18" t="s">
        <v>40</v>
      </c>
      <c r="D34" s="94">
        <v>0.08</v>
      </c>
      <c r="E34" s="113">
        <f>(B11/365)*D34*B34</f>
        <v>52.543561643835631</v>
      </c>
      <c r="F34" s="54">
        <f>E34*B15</f>
        <v>3152.6136986301381</v>
      </c>
    </row>
    <row r="35" spans="1:16" x14ac:dyDescent="0.2">
      <c r="A35" s="1" t="s">
        <v>142</v>
      </c>
      <c r="C35" s="18"/>
      <c r="E35" s="11">
        <f>SUM(E24:E34)</f>
        <v>1463.0500616438358</v>
      </c>
      <c r="F35" s="54">
        <f>SUM(F24:F34)</f>
        <v>87783.003698630142</v>
      </c>
    </row>
    <row r="36" spans="1:16" x14ac:dyDescent="0.2">
      <c r="A36" s="1"/>
      <c r="C36" s="18"/>
      <c r="E36" s="3"/>
      <c r="F36" s="54"/>
      <c r="I36" s="1"/>
      <c r="J36" s="1"/>
      <c r="L36" s="18"/>
    </row>
    <row r="37" spans="1:16" x14ac:dyDescent="0.2">
      <c r="A37" s="133" t="s">
        <v>158</v>
      </c>
      <c r="B37" s="133"/>
      <c r="C37" s="18"/>
      <c r="D37" s="30"/>
      <c r="E37" s="113">
        <f>E21-E35</f>
        <v>161.20993835616423</v>
      </c>
      <c r="F37" s="54">
        <f>F21-F35</f>
        <v>9672.5963013698638</v>
      </c>
      <c r="L37" s="18"/>
    </row>
    <row r="38" spans="1:16" x14ac:dyDescent="0.2">
      <c r="A38" s="109"/>
      <c r="B38" s="109"/>
      <c r="C38" s="109"/>
      <c r="D38" s="109"/>
      <c r="E38" s="109"/>
      <c r="F38" s="109"/>
      <c r="I38" s="1"/>
      <c r="J38" s="1"/>
      <c r="K38" s="34"/>
      <c r="L38" s="18"/>
      <c r="M38" s="18"/>
    </row>
    <row r="39" spans="1:16" x14ac:dyDescent="0.2">
      <c r="A39" s="19" t="s">
        <v>154</v>
      </c>
      <c r="C39" s="18"/>
      <c r="E39" s="3"/>
      <c r="F39" s="39"/>
      <c r="L39" s="18"/>
    </row>
    <row r="40" spans="1:16" x14ac:dyDescent="0.2">
      <c r="A40" t="s">
        <v>65</v>
      </c>
      <c r="C40" s="18"/>
      <c r="D40" s="18"/>
      <c r="E40" s="85">
        <v>30</v>
      </c>
      <c r="F40" s="54">
        <f>E40*B15</f>
        <v>1800</v>
      </c>
      <c r="K40" s="18"/>
    </row>
    <row r="41" spans="1:16" x14ac:dyDescent="0.2">
      <c r="A41" s="13" t="s">
        <v>164</v>
      </c>
      <c r="B41" s="31"/>
      <c r="C41" s="18"/>
      <c r="D41" s="35"/>
      <c r="E41" s="114">
        <v>15</v>
      </c>
      <c r="F41" s="55">
        <f>E41*B15</f>
        <v>900</v>
      </c>
      <c r="I41" s="13"/>
      <c r="J41" s="3"/>
      <c r="K41" s="18"/>
      <c r="L41" s="18"/>
      <c r="M41" s="13"/>
      <c r="N41" s="13"/>
      <c r="O41" s="13"/>
      <c r="P41" s="13"/>
    </row>
    <row r="42" spans="1:16" x14ac:dyDescent="0.2">
      <c r="A42" s="13" t="s">
        <v>155</v>
      </c>
      <c r="B42" s="96">
        <v>1</v>
      </c>
      <c r="C42" s="18" t="s">
        <v>45</v>
      </c>
      <c r="D42" s="115">
        <v>10</v>
      </c>
      <c r="E42" s="113">
        <f>B42*D42</f>
        <v>10</v>
      </c>
      <c r="F42" s="54">
        <f>E42*B15</f>
        <v>600</v>
      </c>
      <c r="I42" s="13"/>
      <c r="J42" s="3"/>
      <c r="K42" s="18"/>
      <c r="L42" s="18"/>
      <c r="M42" s="13"/>
      <c r="N42" s="13"/>
      <c r="O42" s="13"/>
      <c r="P42" s="13"/>
    </row>
    <row r="43" spans="1:16" x14ac:dyDescent="0.2">
      <c r="A43" s="19" t="s">
        <v>156</v>
      </c>
      <c r="B43" s="13"/>
      <c r="C43" s="18"/>
      <c r="D43" s="30"/>
      <c r="E43" s="11">
        <f>SUM(E40:E42)</f>
        <v>55</v>
      </c>
      <c r="F43" s="54">
        <f>SUM(F40:F42)</f>
        <v>3300</v>
      </c>
      <c r="J43" s="13"/>
      <c r="K43" s="13"/>
      <c r="L43" s="13"/>
      <c r="M43" s="13"/>
      <c r="N43" s="13"/>
      <c r="O43" s="13"/>
      <c r="P43" s="13"/>
    </row>
    <row r="44" spans="1:16" x14ac:dyDescent="0.2">
      <c r="A44" s="19"/>
      <c r="B44" s="13"/>
      <c r="C44" s="18"/>
      <c r="D44" s="30"/>
      <c r="E44" s="11"/>
      <c r="F44" s="54"/>
      <c r="L44" s="18"/>
    </row>
    <row r="45" spans="1:16" x14ac:dyDescent="0.2">
      <c r="A45" s="1" t="s">
        <v>127</v>
      </c>
      <c r="E45" s="11">
        <f>E35+E43</f>
        <v>1518.0500616438358</v>
      </c>
      <c r="F45" s="54">
        <f>F35+F43</f>
        <v>91083.003698630142</v>
      </c>
    </row>
    <row r="46" spans="1:16" x14ac:dyDescent="0.2">
      <c r="D46" s="23"/>
      <c r="E46" s="3"/>
      <c r="F46" s="54"/>
      <c r="K46" s="18"/>
    </row>
    <row r="47" spans="1:16" x14ac:dyDescent="0.2">
      <c r="A47" s="133" t="s">
        <v>27</v>
      </c>
      <c r="B47" s="133"/>
      <c r="C47" s="133"/>
      <c r="D47" s="23"/>
      <c r="E47" s="11">
        <f>E21-E45</f>
        <v>106.20993835616423</v>
      </c>
      <c r="F47" s="54">
        <f>F21-F45</f>
        <v>6372.5963013698638</v>
      </c>
      <c r="K47" s="18"/>
    </row>
    <row r="48" spans="1:16" x14ac:dyDescent="0.2">
      <c r="A48" s="1"/>
      <c r="B48" s="1"/>
      <c r="C48" s="1"/>
      <c r="D48" s="23"/>
      <c r="E48" s="18"/>
      <c r="K48" s="18"/>
    </row>
    <row r="49" spans="1:15" x14ac:dyDescent="0.2">
      <c r="B49" s="98" t="s">
        <v>160</v>
      </c>
      <c r="C49" s="99"/>
      <c r="D49" s="100"/>
      <c r="E49" s="101">
        <f>E35/B12</f>
        <v>2.0717219791048365</v>
      </c>
      <c r="K49" s="18"/>
    </row>
    <row r="50" spans="1:15" x14ac:dyDescent="0.2">
      <c r="B50" s="68" t="s">
        <v>159</v>
      </c>
      <c r="C50" s="69"/>
      <c r="D50" s="69"/>
      <c r="E50" s="102">
        <f>E45/B12</f>
        <v>2.1496035990425315</v>
      </c>
      <c r="K50" s="18"/>
    </row>
    <row r="51" spans="1:15" x14ac:dyDescent="0.2">
      <c r="K51" s="18"/>
    </row>
    <row r="52" spans="1:15" x14ac:dyDescent="0.2">
      <c r="A52" s="20"/>
      <c r="B52" s="20"/>
      <c r="C52" s="20"/>
      <c r="D52" s="20"/>
      <c r="E52" s="20"/>
      <c r="K52" s="18"/>
    </row>
    <row r="56" spans="1:15" x14ac:dyDescent="0.2">
      <c r="G56" s="20"/>
      <c r="H56" s="20"/>
      <c r="I56" s="20"/>
      <c r="J56" s="137"/>
      <c r="K56" s="137"/>
      <c r="L56" s="137"/>
      <c r="M56" s="137"/>
      <c r="N56" s="137"/>
      <c r="O56" s="137"/>
    </row>
    <row r="57" spans="1:15" x14ac:dyDescent="0.2">
      <c r="F57" s="40"/>
    </row>
  </sheetData>
  <protectedRanges>
    <protectedRange sqref="B42" name="Range21"/>
    <protectedRange sqref="D42" name="Range20"/>
    <protectedRange sqref="E40:E41" name="Range19"/>
    <protectedRange sqref="B33" name="Range17"/>
    <protectedRange sqref="B26:B28" name="Range16"/>
    <protectedRange sqref="B24" name="Range15"/>
    <protectedRange sqref="D20" name="Range12"/>
    <protectedRange sqref="C7" name="Range1"/>
    <protectedRange sqref="E7" name="Range2"/>
    <protectedRange sqref="B10" name="Range4"/>
    <protectedRange sqref="B14:B17" name="Range5"/>
    <protectedRange sqref="D42 D29:D32 D43:D44" name="Range6"/>
    <protectedRange sqref="D33 D41 D37:D38" name="Range7"/>
    <protectedRange sqref="D26" name="Range9"/>
    <protectedRange sqref="L13:L14" name="Range10"/>
    <protectedRange sqref="L26" name="Range11"/>
    <protectedRange sqref="D24:D31" name="Range13"/>
    <protectedRange sqref="D33:D34" name="Range14"/>
    <protectedRange sqref="A33" name="Range18"/>
  </protectedRanges>
  <mergeCells count="13">
    <mergeCell ref="K19:M19"/>
    <mergeCell ref="K12:M12"/>
    <mergeCell ref="J2:K2"/>
    <mergeCell ref="K4:M4"/>
    <mergeCell ref="A1:B1"/>
    <mergeCell ref="K22:M22"/>
    <mergeCell ref="K24:M24"/>
    <mergeCell ref="J56:O56"/>
    <mergeCell ref="A47:C47"/>
    <mergeCell ref="A37:B37"/>
    <mergeCell ref="K25:M25"/>
    <mergeCell ref="J29:K29"/>
    <mergeCell ref="K31:L31"/>
  </mergeCells>
  <phoneticPr fontId="0" type="noConversion"/>
  <pageMargins left="0.75" right="0.25" top="1" bottom="0.25" header="0.5" footer="0.5"/>
  <pageSetup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Introduction</vt:lpstr>
      <vt:lpstr>CowCalf Spring</vt:lpstr>
      <vt:lpstr>CowCalf Fall</vt:lpstr>
      <vt:lpstr>Replacement Beef Heifer</vt:lpstr>
      <vt:lpstr>Steer Backgrounding</vt:lpstr>
      <vt:lpstr>Summer Grazing</vt:lpstr>
      <vt:lpstr>'CowCalf Spring'!Print_Area</vt:lpstr>
      <vt:lpstr>'Steer Backgrounding'!Print_Area</vt:lpstr>
      <vt:lpstr>'Summer Grazing'!Print_Area</vt:lpstr>
    </vt:vector>
  </TitlesOfParts>
  <Company>University of Kentucky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 Goode</dc:creator>
  <cp:lastModifiedBy>Atherton, Nicole C.</cp:lastModifiedBy>
  <cp:lastPrinted>2024-06-12T16:23:59Z</cp:lastPrinted>
  <dcterms:created xsi:type="dcterms:W3CDTF">2003-11-07T20:39:04Z</dcterms:created>
  <dcterms:modified xsi:type="dcterms:W3CDTF">2024-06-12T16:42:38Z</dcterms:modified>
</cp:coreProperties>
</file>