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man\Dropbox\UK Extension Assistant\Forage and Grain Budgets\Specialty Budgets\"/>
    </mc:Choice>
  </mc:AlternateContent>
  <workbookProtection workbookAlgorithmName="SHA-512" workbookHashValue="RmKx6qBFCpcHpYCGU5y3xJuOegErWMus+SG29Tpo8NVt8biQwhpmTQ4KQecEd5GH1V2cc5pen202Jex1xs6Bug==" workbookSaltValue="k1NBbXPbQ1zSxkVDug8V+g==" workbookSpinCount="100000" lockStructure="1"/>
  <bookViews>
    <workbookView xWindow="0" yWindow="0" windowWidth="20130" windowHeight="15630" tabRatio="908"/>
  </bookViews>
  <sheets>
    <sheet name="Cover" sheetId="14" r:id="rId1"/>
    <sheet name="Instructions" sheetId="15" r:id="rId2"/>
    <sheet name="GMO" sheetId="7" r:id="rId3"/>
    <sheet name="Machinery(GMO)" sheetId="13" r:id="rId4"/>
    <sheet name="Machinery Calc (GMO)" sheetId="4" state="hidden" r:id="rId5"/>
    <sheet name="Heirloom" sheetId="35" r:id="rId6"/>
    <sheet name="Machinery(Heirloom)" sheetId="37" r:id="rId7"/>
    <sheet name="Machinery Calc (Heirloom)" sheetId="39" state="hidden" r:id="rId8"/>
    <sheet name="Non-GMO" sheetId="36" r:id="rId9"/>
    <sheet name="Machinery(Non-GMO)" sheetId="38" r:id="rId10"/>
    <sheet name="Machinery Calc (Non-GMO)" sheetId="42" state="hidden" r:id="rId11"/>
    <sheet name="Trucking" sheetId="20" state="hidden" r:id="rId12"/>
    <sheet name="Storage(All)" sheetId="24" r:id="rId13"/>
    <sheet name="Summary(All)" sheetId="25" r:id="rId14"/>
    <sheet name="Summary(GMO)" sheetId="43" state="hidden" r:id="rId15"/>
    <sheet name="Soybeans" sheetId="18" state="hidden" r:id="rId16"/>
    <sheet name="Machinery(Soybeans)" sheetId="28" state="hidden" r:id="rId17"/>
    <sheet name="Machinery Calculations (SB)" sheetId="19" state="hidden" r:id="rId18"/>
    <sheet name="Summary(Soybeans)" sheetId="30" state="hidden" r:id="rId19"/>
    <sheet name="SensitivityTableNotes" sheetId="34" state="hidden" r:id="rId20"/>
    <sheet name="2020Notes" sheetId="21" state="hidden" r:id="rId21"/>
    <sheet name="Notes-Questions" sheetId="6" state="hidden" r:id="rId22"/>
  </sheets>
  <calcPr calcId="162913"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5" l="1"/>
  <c r="I15" i="25"/>
  <c r="G15" i="25"/>
  <c r="G16" i="25"/>
  <c r="I16" i="25"/>
  <c r="E15" i="25"/>
  <c r="P15" i="36" l="1"/>
  <c r="P15" i="35"/>
  <c r="P15" i="7"/>
  <c r="J40" i="25" l="1"/>
  <c r="J39" i="25"/>
  <c r="F40" i="25"/>
  <c r="F39" i="25"/>
  <c r="H39" i="25"/>
  <c r="H40" i="25"/>
  <c r="C71" i="7" l="1"/>
  <c r="C71" i="35"/>
  <c r="C71" i="36"/>
  <c r="C95" i="36"/>
  <c r="C94" i="35"/>
  <c r="C95" i="7"/>
  <c r="F38" i="25" l="1"/>
  <c r="H38" i="25"/>
  <c r="I6" i="25"/>
  <c r="I5" i="25"/>
  <c r="G6" i="25"/>
  <c r="G5" i="25"/>
  <c r="E6" i="25"/>
  <c r="E5" i="25"/>
  <c r="J38" i="25" l="1"/>
  <c r="B2" i="36"/>
  <c r="B2" i="35"/>
  <c r="B2" i="7"/>
  <c r="B50" i="20"/>
  <c r="C50" i="20"/>
  <c r="D50" i="20"/>
  <c r="F63" i="42"/>
  <c r="E63" i="42"/>
  <c r="D63" i="42"/>
  <c r="F59" i="42"/>
  <c r="E59" i="42"/>
  <c r="D59" i="42"/>
  <c r="F56" i="42"/>
  <c r="E56" i="42"/>
  <c r="D56" i="42"/>
  <c r="F50" i="42"/>
  <c r="E50" i="42"/>
  <c r="D50" i="42"/>
  <c r="F47" i="42"/>
  <c r="E47" i="42"/>
  <c r="D47" i="42"/>
  <c r="F44" i="42"/>
  <c r="E44" i="42"/>
  <c r="D44" i="42"/>
  <c r="F43" i="42"/>
  <c r="E43" i="42"/>
  <c r="D43" i="42"/>
  <c r="F40" i="42"/>
  <c r="E40" i="42"/>
  <c r="D40" i="42"/>
  <c r="F37" i="42"/>
  <c r="E37" i="42"/>
  <c r="D37" i="42"/>
  <c r="F36" i="42"/>
  <c r="E36" i="42"/>
  <c r="D36" i="42"/>
  <c r="F32" i="42"/>
  <c r="E32" i="42"/>
  <c r="D32" i="42"/>
  <c r="F29" i="42"/>
  <c r="E29" i="42"/>
  <c r="D29" i="42"/>
  <c r="F27" i="42"/>
  <c r="E27" i="42"/>
  <c r="D27" i="42"/>
  <c r="F25" i="42"/>
  <c r="E25" i="42"/>
  <c r="D25" i="42"/>
  <c r="F22" i="42"/>
  <c r="E22" i="42"/>
  <c r="D22" i="42"/>
  <c r="F21" i="42"/>
  <c r="E21" i="42"/>
  <c r="D21" i="42"/>
  <c r="K35" i="38"/>
  <c r="J35" i="38"/>
  <c r="I35" i="38"/>
  <c r="H35" i="38"/>
  <c r="G35" i="38"/>
  <c r="K34" i="38"/>
  <c r="J34" i="38"/>
  <c r="I34" i="38"/>
  <c r="H34" i="38"/>
  <c r="G34" i="38"/>
  <c r="K33" i="38"/>
  <c r="J33" i="38"/>
  <c r="I33" i="38"/>
  <c r="H33" i="38"/>
  <c r="G33" i="38"/>
  <c r="K32" i="38"/>
  <c r="J32" i="38"/>
  <c r="I32" i="38"/>
  <c r="H32" i="38"/>
  <c r="G32" i="38"/>
  <c r="B14" i="38"/>
  <c r="G38" i="37"/>
  <c r="K35" i="37"/>
  <c r="J35" i="37"/>
  <c r="I35" i="37"/>
  <c r="H35" i="37"/>
  <c r="G35" i="37"/>
  <c r="K33" i="37"/>
  <c r="J33" i="37"/>
  <c r="I33" i="37"/>
  <c r="H33" i="37"/>
  <c r="G33" i="37"/>
  <c r="K32" i="37"/>
  <c r="J32" i="37"/>
  <c r="I32" i="37"/>
  <c r="H32" i="37"/>
  <c r="G32" i="37"/>
  <c r="F63" i="39"/>
  <c r="E63" i="39"/>
  <c r="D63" i="39"/>
  <c r="F59" i="39"/>
  <c r="E59" i="39"/>
  <c r="D59" i="39"/>
  <c r="F56" i="39"/>
  <c r="E56" i="39"/>
  <c r="D56" i="39"/>
  <c r="F50" i="39"/>
  <c r="E50" i="39"/>
  <c r="D50" i="39"/>
  <c r="F47" i="39"/>
  <c r="E47" i="39"/>
  <c r="D47" i="39"/>
  <c r="F44" i="39"/>
  <c r="D44" i="39"/>
  <c r="E44" i="39" s="1"/>
  <c r="F43" i="39"/>
  <c r="D43" i="39"/>
  <c r="E43" i="39" s="1"/>
  <c r="F40" i="39"/>
  <c r="D40" i="39"/>
  <c r="E40" i="39" s="1"/>
  <c r="F37" i="39"/>
  <c r="E37" i="39"/>
  <c r="D37" i="39"/>
  <c r="F36" i="39"/>
  <c r="D36" i="39"/>
  <c r="E36" i="39" s="1"/>
  <c r="F32" i="39"/>
  <c r="D32" i="39"/>
  <c r="E32" i="39" s="1"/>
  <c r="F29" i="39"/>
  <c r="E29" i="39"/>
  <c r="D29" i="39"/>
  <c r="F27" i="39"/>
  <c r="D27" i="39"/>
  <c r="E27" i="39" s="1"/>
  <c r="F25" i="39"/>
  <c r="D25" i="39"/>
  <c r="E25" i="39" s="1"/>
  <c r="F22" i="39"/>
  <c r="D22" i="39"/>
  <c r="E22" i="39" s="1"/>
  <c r="F21" i="39"/>
  <c r="D21" i="39"/>
  <c r="E21" i="39" s="1"/>
  <c r="I35" i="25"/>
  <c r="I26" i="25"/>
  <c r="I25" i="25"/>
  <c r="I23" i="25"/>
  <c r="I10" i="25"/>
  <c r="I9" i="25"/>
  <c r="G35" i="25"/>
  <c r="G26" i="25"/>
  <c r="G25" i="25"/>
  <c r="G23" i="25"/>
  <c r="G10" i="25"/>
  <c r="G9" i="25"/>
  <c r="E5" i="24"/>
  <c r="D5" i="24"/>
  <c r="B8" i="42"/>
  <c r="O51" i="42" s="1"/>
  <c r="H176" i="42"/>
  <c r="G176" i="42"/>
  <c r="H175" i="42"/>
  <c r="G175" i="42"/>
  <c r="H174" i="42"/>
  <c r="G174" i="42"/>
  <c r="H173" i="42"/>
  <c r="G173" i="42"/>
  <c r="H172" i="42"/>
  <c r="G172" i="42"/>
  <c r="H171" i="42"/>
  <c r="G171" i="42"/>
  <c r="G170" i="42"/>
  <c r="H169" i="42"/>
  <c r="H168" i="42"/>
  <c r="H167" i="42"/>
  <c r="H166" i="42"/>
  <c r="H103" i="42"/>
  <c r="H102" i="42"/>
  <c r="Z16" i="42"/>
  <c r="Y16" i="42"/>
  <c r="X16" i="42"/>
  <c r="W16" i="42"/>
  <c r="V16" i="42"/>
  <c r="U16" i="42"/>
  <c r="Z15" i="42"/>
  <c r="Y15" i="42"/>
  <c r="X15" i="42"/>
  <c r="W15" i="42"/>
  <c r="V15" i="42"/>
  <c r="U15" i="42"/>
  <c r="B15" i="42"/>
  <c r="B7" i="42"/>
  <c r="B6" i="42"/>
  <c r="B5" i="42"/>
  <c r="B4" i="42"/>
  <c r="B3" i="42"/>
  <c r="J53" i="38"/>
  <c r="I53" i="38"/>
  <c r="J52" i="38"/>
  <c r="I52" i="38"/>
  <c r="J51" i="38"/>
  <c r="I51" i="38"/>
  <c r="C35" i="38"/>
  <c r="C34" i="38"/>
  <c r="C33" i="38"/>
  <c r="C28" i="38"/>
  <c r="C27" i="38"/>
  <c r="C26" i="38"/>
  <c r="C25" i="38"/>
  <c r="C24" i="38"/>
  <c r="C23" i="38"/>
  <c r="C22" i="38"/>
  <c r="D61" i="36"/>
  <c r="D60" i="36"/>
  <c r="D61" i="35"/>
  <c r="B14" i="37" s="1"/>
  <c r="D60" i="35"/>
  <c r="J53" i="37"/>
  <c r="I53" i="37"/>
  <c r="J52" i="37"/>
  <c r="I52" i="37"/>
  <c r="J51" i="37"/>
  <c r="I51" i="37"/>
  <c r="C35" i="37"/>
  <c r="C34" i="37"/>
  <c r="C33" i="37"/>
  <c r="C28" i="37"/>
  <c r="C27" i="37"/>
  <c r="C26" i="37"/>
  <c r="C25" i="37"/>
  <c r="C24" i="37"/>
  <c r="C23" i="37"/>
  <c r="C22" i="37"/>
  <c r="H103" i="39"/>
  <c r="H102" i="39"/>
  <c r="O51" i="39"/>
  <c r="B27" i="20"/>
  <c r="B26" i="20"/>
  <c r="U72" i="39"/>
  <c r="Z16" i="39"/>
  <c r="Z15" i="39"/>
  <c r="Y16" i="39"/>
  <c r="Y15" i="39"/>
  <c r="X16" i="39"/>
  <c r="X15" i="39"/>
  <c r="W16" i="39"/>
  <c r="W15" i="39"/>
  <c r="V16" i="39"/>
  <c r="V15" i="39"/>
  <c r="U16" i="39"/>
  <c r="U15" i="39"/>
  <c r="B15" i="39"/>
  <c r="B8" i="39"/>
  <c r="O81" i="39" s="1"/>
  <c r="B7" i="39"/>
  <c r="B6" i="39"/>
  <c r="B5" i="39"/>
  <c r="B4" i="39"/>
  <c r="B3" i="39"/>
  <c r="C27" i="20" l="1"/>
  <c r="D27" i="20" s="1"/>
  <c r="L51" i="42"/>
  <c r="L81" i="42"/>
  <c r="O81" i="42"/>
  <c r="L51" i="39"/>
  <c r="L81" i="39"/>
  <c r="C26" i="20"/>
  <c r="D26" i="20" s="1"/>
  <c r="J41" i="36"/>
  <c r="I33" i="25" s="1"/>
  <c r="J41" i="35"/>
  <c r="G33" i="25" s="1"/>
  <c r="B36" i="43"/>
  <c r="B35" i="43"/>
  <c r="B34" i="43"/>
  <c r="G31" i="43"/>
  <c r="G22" i="43"/>
  <c r="G21" i="43"/>
  <c r="G19" i="43"/>
  <c r="G17" i="43"/>
  <c r="G13" i="43"/>
  <c r="G12" i="43"/>
  <c r="G11" i="43"/>
  <c r="G7" i="43"/>
  <c r="G6" i="43"/>
  <c r="F5" i="43"/>
  <c r="E5" i="43"/>
  <c r="D5" i="43"/>
  <c r="B2" i="43"/>
  <c r="O68" i="42" l="1"/>
  <c r="P68" i="42" s="1"/>
  <c r="M68" i="42"/>
  <c r="O67" i="42"/>
  <c r="P67" i="42" s="1"/>
  <c r="Z64" i="42"/>
  <c r="Y64" i="42"/>
  <c r="X64" i="42"/>
  <c r="O64" i="42"/>
  <c r="P64" i="42" s="1"/>
  <c r="O63" i="42"/>
  <c r="Z60" i="42"/>
  <c r="Y60" i="42"/>
  <c r="X60" i="42"/>
  <c r="O60" i="42"/>
  <c r="P60" i="42" s="1"/>
  <c r="O59" i="42"/>
  <c r="Y58" i="42"/>
  <c r="X58" i="42"/>
  <c r="W58" i="42"/>
  <c r="O58" i="42"/>
  <c r="P58" i="42" s="1"/>
  <c r="O57" i="42"/>
  <c r="P57" i="42" s="1"/>
  <c r="P56" i="42"/>
  <c r="O56" i="42"/>
  <c r="J56" i="42"/>
  <c r="O50" i="42"/>
  <c r="P50" i="42" s="1"/>
  <c r="O49" i="42"/>
  <c r="P49" i="42" s="1"/>
  <c r="Z48" i="42"/>
  <c r="O48" i="42"/>
  <c r="P48" i="42" s="1"/>
  <c r="M48" i="42"/>
  <c r="O47" i="42"/>
  <c r="P47" i="42" s="1"/>
  <c r="M47" i="42"/>
  <c r="Y44" i="42"/>
  <c r="P44" i="42"/>
  <c r="O44" i="42"/>
  <c r="O43" i="42"/>
  <c r="P43" i="42" s="1"/>
  <c r="O42" i="42"/>
  <c r="P42" i="42" s="1"/>
  <c r="Z41" i="42"/>
  <c r="O41" i="42"/>
  <c r="P41" i="42" s="1"/>
  <c r="M41" i="42"/>
  <c r="O40" i="42"/>
  <c r="P40" i="42" s="1"/>
  <c r="M40" i="42"/>
  <c r="P37" i="42"/>
  <c r="O37" i="42"/>
  <c r="O36" i="42"/>
  <c r="P36" i="42" s="1"/>
  <c r="O35" i="42"/>
  <c r="Z34" i="42"/>
  <c r="O34" i="42"/>
  <c r="P34" i="42" s="1"/>
  <c r="M34" i="42"/>
  <c r="O32" i="42"/>
  <c r="P32" i="42" s="1"/>
  <c r="M32" i="42"/>
  <c r="Y29" i="42"/>
  <c r="P29" i="42"/>
  <c r="O29" i="42"/>
  <c r="Z28" i="42"/>
  <c r="O28" i="42"/>
  <c r="P28" i="42" s="1"/>
  <c r="P27" i="42"/>
  <c r="O27" i="42"/>
  <c r="J27" i="42"/>
  <c r="Z26" i="42"/>
  <c r="Y26" i="42"/>
  <c r="O26" i="42"/>
  <c r="P26" i="42" s="1"/>
  <c r="M26" i="42"/>
  <c r="O25" i="42"/>
  <c r="P25" i="42" s="1"/>
  <c r="M25" i="42"/>
  <c r="Z25" i="42"/>
  <c r="K28" i="38" s="1"/>
  <c r="Z23" i="42"/>
  <c r="Y23" i="42"/>
  <c r="P23" i="42"/>
  <c r="O23" i="42"/>
  <c r="O22" i="42"/>
  <c r="P22" i="42" s="1"/>
  <c r="M22" i="42"/>
  <c r="K22" i="42"/>
  <c r="Z22" i="42"/>
  <c r="P21" i="42"/>
  <c r="O21" i="42"/>
  <c r="J21" i="42"/>
  <c r="Z21" i="42"/>
  <c r="Z20" i="42"/>
  <c r="Y20" i="42"/>
  <c r="O20" i="42"/>
  <c r="P20" i="42" s="1"/>
  <c r="M20" i="42"/>
  <c r="Z67" i="42"/>
  <c r="Y67" i="42"/>
  <c r="X67" i="42"/>
  <c r="W64" i="42"/>
  <c r="V60" i="42"/>
  <c r="U58" i="42"/>
  <c r="P59" i="42"/>
  <c r="W71" i="42"/>
  <c r="K47" i="42"/>
  <c r="M56" i="42"/>
  <c r="V68" i="39"/>
  <c r="O68" i="39"/>
  <c r="O67" i="39"/>
  <c r="P67" i="39" s="1"/>
  <c r="X64" i="39"/>
  <c r="W64" i="39"/>
  <c r="O64" i="39"/>
  <c r="P64" i="39" s="1"/>
  <c r="O63" i="39"/>
  <c r="P63" i="39" s="1"/>
  <c r="W60" i="39"/>
  <c r="V60" i="39"/>
  <c r="O60" i="39"/>
  <c r="P60" i="39" s="1"/>
  <c r="Y59" i="39"/>
  <c r="I25" i="37" s="1"/>
  <c r="O59" i="39"/>
  <c r="V58" i="39"/>
  <c r="U58" i="39"/>
  <c r="O58" i="39"/>
  <c r="P58" i="39" s="1"/>
  <c r="X57" i="39"/>
  <c r="O57" i="39"/>
  <c r="O56" i="39"/>
  <c r="P56" i="39" s="1"/>
  <c r="M56" i="39"/>
  <c r="O50" i="39"/>
  <c r="O49" i="39"/>
  <c r="P49" i="39" s="1"/>
  <c r="W48" i="39"/>
  <c r="O48" i="39"/>
  <c r="P48" i="39" s="1"/>
  <c r="O47" i="39"/>
  <c r="K47" i="39" s="1"/>
  <c r="Y44" i="39"/>
  <c r="V44" i="39"/>
  <c r="O44" i="39"/>
  <c r="P44" i="39" s="1"/>
  <c r="O43" i="39"/>
  <c r="X43" i="39"/>
  <c r="O42" i="39"/>
  <c r="W41" i="39"/>
  <c r="O41" i="39"/>
  <c r="P41" i="39" s="1"/>
  <c r="O40" i="39"/>
  <c r="K40" i="39"/>
  <c r="O37" i="39"/>
  <c r="V37" i="39" s="1"/>
  <c r="O36" i="39"/>
  <c r="O35" i="39"/>
  <c r="W34" i="39"/>
  <c r="P34" i="39"/>
  <c r="O34" i="39"/>
  <c r="W32" i="39"/>
  <c r="O32" i="39"/>
  <c r="M32" i="39"/>
  <c r="K32" i="39"/>
  <c r="Y29" i="39"/>
  <c r="V29" i="39"/>
  <c r="O29" i="39"/>
  <c r="P29" i="39" s="1"/>
  <c r="X28" i="39"/>
  <c r="V28" i="39"/>
  <c r="O28" i="39"/>
  <c r="X27" i="39"/>
  <c r="U27" i="39"/>
  <c r="O27" i="39"/>
  <c r="P27" i="39" s="1"/>
  <c r="M27" i="39"/>
  <c r="Y27" i="39"/>
  <c r="W26" i="39"/>
  <c r="P26" i="39"/>
  <c r="O26" i="39"/>
  <c r="Y25" i="39"/>
  <c r="I28" i="37" s="1"/>
  <c r="W25" i="39"/>
  <c r="O25" i="39"/>
  <c r="M25" i="39"/>
  <c r="K25" i="39"/>
  <c r="Y23" i="39"/>
  <c r="V23" i="39"/>
  <c r="O23" i="39"/>
  <c r="P23" i="39" s="1"/>
  <c r="X22" i="39"/>
  <c r="W22" i="39"/>
  <c r="V22" i="39"/>
  <c r="O22" i="39"/>
  <c r="K22" i="39" s="1"/>
  <c r="J22" i="39"/>
  <c r="Y22" i="39"/>
  <c r="Y21" i="39"/>
  <c r="X21" i="39"/>
  <c r="U21" i="39"/>
  <c r="O21" i="39"/>
  <c r="P21" i="39" s="1"/>
  <c r="M21" i="39"/>
  <c r="V21" i="39"/>
  <c r="W20" i="39"/>
  <c r="O20" i="39"/>
  <c r="P20" i="39" s="1"/>
  <c r="W47" i="39"/>
  <c r="Z67" i="39"/>
  <c r="Y67" i="39"/>
  <c r="X67" i="39"/>
  <c r="W67" i="39"/>
  <c r="V64" i="39"/>
  <c r="U60" i="39"/>
  <c r="W71" i="39"/>
  <c r="P57" i="39"/>
  <c r="J47" i="39"/>
  <c r="L52" i="38"/>
  <c r="L51" i="38"/>
  <c r="C38" i="38"/>
  <c r="U72" i="42" s="1"/>
  <c r="G38" i="38" s="1"/>
  <c r="C37" i="38"/>
  <c r="L35" i="38"/>
  <c r="L34" i="38"/>
  <c r="L33" i="38"/>
  <c r="L32" i="38"/>
  <c r="C32" i="38"/>
  <c r="L52" i="37"/>
  <c r="L51" i="37"/>
  <c r="L38" i="37"/>
  <c r="C38" i="37"/>
  <c r="C37" i="37"/>
  <c r="L35" i="37"/>
  <c r="L33" i="37"/>
  <c r="L32" i="37"/>
  <c r="C32" i="37"/>
  <c r="C87" i="36"/>
  <c r="J27" i="36"/>
  <c r="B49" i="36"/>
  <c r="B48" i="36"/>
  <c r="B47" i="36"/>
  <c r="J44" i="36"/>
  <c r="J43" i="36"/>
  <c r="J34" i="36"/>
  <c r="J33" i="36"/>
  <c r="J32" i="36"/>
  <c r="I24" i="25" s="1"/>
  <c r="J31" i="36"/>
  <c r="E30" i="36"/>
  <c r="J30" i="36" s="1"/>
  <c r="I22" i="25" s="1"/>
  <c r="J29" i="36"/>
  <c r="I21" i="25" s="1"/>
  <c r="J28" i="36"/>
  <c r="J20" i="36"/>
  <c r="J19" i="36"/>
  <c r="J18" i="36"/>
  <c r="I17" i="25" s="1"/>
  <c r="L17" i="36"/>
  <c r="J17" i="36"/>
  <c r="J16" i="36"/>
  <c r="R15" i="36"/>
  <c r="T15" i="36" s="1"/>
  <c r="N15" i="36"/>
  <c r="J15" i="36"/>
  <c r="R14" i="36"/>
  <c r="T14" i="36" s="1"/>
  <c r="N14" i="36"/>
  <c r="J14" i="36"/>
  <c r="S13" i="36"/>
  <c r="R13" i="36"/>
  <c r="P13" i="36"/>
  <c r="P14" i="36" s="1"/>
  <c r="N13" i="36"/>
  <c r="J13" i="36"/>
  <c r="J12" i="36"/>
  <c r="I14" i="25" s="1"/>
  <c r="S11" i="36"/>
  <c r="J8" i="36"/>
  <c r="J7" i="36"/>
  <c r="J6" i="36"/>
  <c r="E8" i="24" s="1"/>
  <c r="C87" i="35"/>
  <c r="Z51" i="39" s="1"/>
  <c r="K29" i="37" s="1"/>
  <c r="B49" i="35"/>
  <c r="B48" i="35"/>
  <c r="B47" i="35"/>
  <c r="J44" i="35"/>
  <c r="J43" i="35"/>
  <c r="J34" i="35"/>
  <c r="J33" i="35"/>
  <c r="J32" i="35"/>
  <c r="G24" i="25" s="1"/>
  <c r="J31" i="35"/>
  <c r="E30" i="35"/>
  <c r="J30" i="35" s="1"/>
  <c r="G22" i="25" s="1"/>
  <c r="J29" i="35"/>
  <c r="G21" i="25" s="1"/>
  <c r="J28" i="35"/>
  <c r="J27" i="35"/>
  <c r="J26" i="35"/>
  <c r="J20" i="35"/>
  <c r="J19" i="35"/>
  <c r="J18" i="35"/>
  <c r="G17" i="25" s="1"/>
  <c r="L17" i="35"/>
  <c r="J17" i="35"/>
  <c r="J16" i="35"/>
  <c r="R15" i="35"/>
  <c r="T15" i="35" s="1"/>
  <c r="N15" i="35"/>
  <c r="J15" i="35"/>
  <c r="R14" i="35"/>
  <c r="T14" i="35" s="1"/>
  <c r="N14" i="35"/>
  <c r="J14" i="35"/>
  <c r="S13" i="35"/>
  <c r="R13" i="35"/>
  <c r="P13" i="35"/>
  <c r="P14" i="35" s="1"/>
  <c r="N13" i="35"/>
  <c r="J13" i="35"/>
  <c r="J12" i="35"/>
  <c r="G14" i="25" s="1"/>
  <c r="S11" i="35"/>
  <c r="J8" i="35"/>
  <c r="J7" i="35"/>
  <c r="J6" i="35"/>
  <c r="D8" i="24" s="1"/>
  <c r="T13" i="36" l="1"/>
  <c r="H34" i="37"/>
  <c r="I34" i="37"/>
  <c r="J9" i="36"/>
  <c r="E13" i="24" s="1"/>
  <c r="I8" i="25"/>
  <c r="I11" i="25" s="1"/>
  <c r="J9" i="35"/>
  <c r="D13" i="24" s="1"/>
  <c r="D21" i="24" s="1"/>
  <c r="D22" i="24" s="1"/>
  <c r="G8" i="25"/>
  <c r="G11" i="25" s="1"/>
  <c r="T13" i="35"/>
  <c r="I20" i="42"/>
  <c r="Q20" i="42" s="1"/>
  <c r="R20" i="42" s="1"/>
  <c r="S20" i="42" s="1"/>
  <c r="Z51" i="42"/>
  <c r="K29" i="38" s="1"/>
  <c r="W51" i="42"/>
  <c r="V51" i="42"/>
  <c r="G20" i="25"/>
  <c r="I34" i="42"/>
  <c r="Q34" i="42" s="1"/>
  <c r="R34" i="42" s="1"/>
  <c r="S34" i="42" s="1"/>
  <c r="I48" i="42"/>
  <c r="Q48" i="42" s="1"/>
  <c r="R48" i="42" s="1"/>
  <c r="S48" i="42" s="1"/>
  <c r="I68" i="42"/>
  <c r="Q68" i="42" s="1"/>
  <c r="R68" i="42" s="1"/>
  <c r="S68" i="42" s="1"/>
  <c r="I26" i="42"/>
  <c r="Q26" i="42" s="1"/>
  <c r="R26" i="42" s="1"/>
  <c r="S26" i="42" s="1"/>
  <c r="V51" i="39"/>
  <c r="W51" i="39"/>
  <c r="I22" i="39"/>
  <c r="I47" i="39"/>
  <c r="P51" i="42"/>
  <c r="P81" i="42"/>
  <c r="I41" i="42"/>
  <c r="Q41" i="42" s="1"/>
  <c r="U35" i="42"/>
  <c r="U42" i="42"/>
  <c r="U49" i="42"/>
  <c r="V58" i="42"/>
  <c r="W60" i="42"/>
  <c r="V20" i="42"/>
  <c r="U23" i="42"/>
  <c r="V26" i="42"/>
  <c r="W28" i="42"/>
  <c r="U29" i="42"/>
  <c r="V34" i="42"/>
  <c r="Y35" i="42"/>
  <c r="W36" i="42"/>
  <c r="V41" i="42"/>
  <c r="Y42" i="42"/>
  <c r="W43" i="42"/>
  <c r="U44" i="42"/>
  <c r="V48" i="42"/>
  <c r="Y49" i="42"/>
  <c r="W50" i="42"/>
  <c r="W57" i="42"/>
  <c r="Z58" i="42"/>
  <c r="X59" i="42"/>
  <c r="H25" i="38" s="1"/>
  <c r="M67" i="42"/>
  <c r="I67" i="42" s="1"/>
  <c r="Q67" i="42" s="1"/>
  <c r="U28" i="42"/>
  <c r="U43" i="42"/>
  <c r="U57" i="42"/>
  <c r="U20" i="42"/>
  <c r="W20" i="42"/>
  <c r="U21" i="42"/>
  <c r="V23" i="42"/>
  <c r="W26" i="42"/>
  <c r="U27" i="42"/>
  <c r="X28" i="42"/>
  <c r="V29" i="42"/>
  <c r="W34" i="42"/>
  <c r="Z35" i="42"/>
  <c r="V37" i="42"/>
  <c r="W41" i="42"/>
  <c r="Z42" i="42"/>
  <c r="X43" i="42"/>
  <c r="V44" i="42"/>
  <c r="W48" i="42"/>
  <c r="Z49" i="42"/>
  <c r="U56" i="42"/>
  <c r="G24" i="38" s="1"/>
  <c r="X57" i="42"/>
  <c r="Y59" i="42"/>
  <c r="I25" i="38" s="1"/>
  <c r="Z63" i="42"/>
  <c r="K23" i="38" s="1"/>
  <c r="X35" i="42"/>
  <c r="X42" i="42"/>
  <c r="V43" i="42"/>
  <c r="U48" i="42"/>
  <c r="X49" i="42"/>
  <c r="V50" i="42"/>
  <c r="X20" i="42"/>
  <c r="V21" i="42"/>
  <c r="W23" i="42"/>
  <c r="U25" i="42"/>
  <c r="G28" i="38" s="1"/>
  <c r="X26" i="42"/>
  <c r="V27" i="42"/>
  <c r="Y28" i="42"/>
  <c r="W29" i="42"/>
  <c r="U32" i="42"/>
  <c r="X34" i="42"/>
  <c r="W37" i="42"/>
  <c r="U40" i="42"/>
  <c r="G22" i="38" s="1"/>
  <c r="X41" i="42"/>
  <c r="Y43" i="42"/>
  <c r="W44" i="42"/>
  <c r="U47" i="42"/>
  <c r="G26" i="38" s="1"/>
  <c r="X48" i="42"/>
  <c r="V56" i="42"/>
  <c r="Y57" i="42"/>
  <c r="Z59" i="42"/>
  <c r="K25" i="38" s="1"/>
  <c r="U59" i="42"/>
  <c r="G25" i="38" s="1"/>
  <c r="U26" i="42"/>
  <c r="V36" i="42"/>
  <c r="V57" i="42"/>
  <c r="W59" i="42"/>
  <c r="W21" i="42"/>
  <c r="U22" i="42"/>
  <c r="X23" i="42"/>
  <c r="V25" i="42"/>
  <c r="W27" i="42"/>
  <c r="X29" i="42"/>
  <c r="V32" i="42"/>
  <c r="Y34" i="42"/>
  <c r="Z36" i="42"/>
  <c r="V40" i="42"/>
  <c r="Y41" i="42"/>
  <c r="Z43" i="42"/>
  <c r="X44" i="42"/>
  <c r="V47" i="42"/>
  <c r="Y48" i="42"/>
  <c r="Z50" i="42"/>
  <c r="K27" i="38" s="1"/>
  <c r="W56" i="42"/>
  <c r="Z57" i="42"/>
  <c r="M64" i="42"/>
  <c r="I64" i="42" s="1"/>
  <c r="Q64" i="42" s="1"/>
  <c r="U68" i="42"/>
  <c r="V81" i="42"/>
  <c r="W47" i="42"/>
  <c r="M60" i="42"/>
  <c r="I60" i="42" s="1"/>
  <c r="Q60" i="42" s="1"/>
  <c r="J63" i="42"/>
  <c r="V68" i="42"/>
  <c r="W81" i="42"/>
  <c r="W42" i="42"/>
  <c r="Y21" i="42"/>
  <c r="W22" i="42"/>
  <c r="X25" i="42"/>
  <c r="H28" i="38" s="1"/>
  <c r="Y27" i="42"/>
  <c r="Z29" i="42"/>
  <c r="X32" i="42"/>
  <c r="Z37" i="42"/>
  <c r="Z44" i="42"/>
  <c r="M58" i="42"/>
  <c r="I58" i="42" s="1"/>
  <c r="Q58" i="42" s="1"/>
  <c r="J59" i="42"/>
  <c r="K63" i="42"/>
  <c r="W68" i="42"/>
  <c r="V35" i="42"/>
  <c r="V42" i="42"/>
  <c r="W35" i="42"/>
  <c r="V59" i="42"/>
  <c r="U41" i="42"/>
  <c r="X21" i="42"/>
  <c r="X22" i="42"/>
  <c r="Y25" i="42"/>
  <c r="I28" i="38" s="1"/>
  <c r="Z27" i="42"/>
  <c r="Y32" i="42"/>
  <c r="M35" i="42"/>
  <c r="J36" i="42"/>
  <c r="M42" i="42"/>
  <c r="I42" i="42" s="1"/>
  <c r="Q42" i="42" s="1"/>
  <c r="J43" i="42"/>
  <c r="M49" i="42"/>
  <c r="I49" i="42" s="1"/>
  <c r="Q49" i="42" s="1"/>
  <c r="J50" i="42"/>
  <c r="Z56" i="42"/>
  <c r="K24" i="38" s="1"/>
  <c r="K59" i="42"/>
  <c r="M63" i="42"/>
  <c r="U63" i="42" s="1"/>
  <c r="G23" i="38" s="1"/>
  <c r="U67" i="42"/>
  <c r="X68" i="42"/>
  <c r="U34" i="42"/>
  <c r="W25" i="42"/>
  <c r="Y22" i="42"/>
  <c r="Z32" i="42"/>
  <c r="K36" i="42"/>
  <c r="Z40" i="42"/>
  <c r="K22" i="38" s="1"/>
  <c r="K43" i="42"/>
  <c r="Z47" i="42"/>
  <c r="K26" i="38" s="1"/>
  <c r="K50" i="42"/>
  <c r="M59" i="42"/>
  <c r="V67" i="42"/>
  <c r="Y68" i="42"/>
  <c r="Z81" i="42"/>
  <c r="W63" i="42"/>
  <c r="V28" i="42"/>
  <c r="V22" i="42"/>
  <c r="X27" i="42"/>
  <c r="W32" i="42"/>
  <c r="W40" i="42"/>
  <c r="M28" i="42"/>
  <c r="I28" i="42" s="1"/>
  <c r="Q28" i="42" s="1"/>
  <c r="J29" i="42"/>
  <c r="P35" i="42"/>
  <c r="M36" i="42"/>
  <c r="U36" i="42" s="1"/>
  <c r="J37" i="42"/>
  <c r="M43" i="42"/>
  <c r="J44" i="42"/>
  <c r="M50" i="42"/>
  <c r="U50" i="42" s="1"/>
  <c r="G27" i="38" s="1"/>
  <c r="M57" i="42"/>
  <c r="I57" i="42" s="1"/>
  <c r="Q57" i="42" s="1"/>
  <c r="P63" i="42"/>
  <c r="W67" i="42"/>
  <c r="Z68" i="42"/>
  <c r="K29" i="42"/>
  <c r="K37" i="42"/>
  <c r="K44" i="42"/>
  <c r="U64" i="42"/>
  <c r="V71" i="42"/>
  <c r="J37" i="38" s="1"/>
  <c r="L37" i="38" s="1"/>
  <c r="V63" i="42"/>
  <c r="K21" i="42"/>
  <c r="I21" i="42" s="1"/>
  <c r="M23" i="42"/>
  <c r="I23" i="42" s="1"/>
  <c r="Q23" i="42" s="1"/>
  <c r="J25" i="42"/>
  <c r="K27" i="42"/>
  <c r="I27" i="42" s="1"/>
  <c r="M29" i="42"/>
  <c r="J32" i="42"/>
  <c r="M37" i="42"/>
  <c r="U37" i="42" s="1"/>
  <c r="J40" i="42"/>
  <c r="M44" i="42"/>
  <c r="J47" i="42"/>
  <c r="I47" i="42" s="1"/>
  <c r="Q47" i="42" s="1"/>
  <c r="K56" i="42"/>
  <c r="I56" i="42" s="1"/>
  <c r="Q56" i="42" s="1"/>
  <c r="U60" i="42"/>
  <c r="V64" i="42"/>
  <c r="V49" i="42"/>
  <c r="W49" i="42"/>
  <c r="M21" i="42"/>
  <c r="J22" i="42"/>
  <c r="I22" i="42" s="1"/>
  <c r="Q22" i="42" s="1"/>
  <c r="K25" i="42"/>
  <c r="M27" i="42"/>
  <c r="K32" i="42"/>
  <c r="K40" i="42"/>
  <c r="P51" i="39"/>
  <c r="P81" i="39"/>
  <c r="W81" i="39"/>
  <c r="P37" i="39"/>
  <c r="U42" i="39"/>
  <c r="M47" i="39"/>
  <c r="M22" i="39"/>
  <c r="V35" i="39"/>
  <c r="V42" i="39"/>
  <c r="V49" i="39"/>
  <c r="W58" i="39"/>
  <c r="U59" i="39"/>
  <c r="G25" i="37" s="1"/>
  <c r="X60" i="39"/>
  <c r="V63" i="39"/>
  <c r="Y64" i="39"/>
  <c r="M68" i="39"/>
  <c r="U35" i="39"/>
  <c r="P25" i="39"/>
  <c r="U28" i="39"/>
  <c r="P32" i="39"/>
  <c r="W35" i="39"/>
  <c r="P40" i="39"/>
  <c r="W42" i="39"/>
  <c r="U43" i="39"/>
  <c r="P47" i="39"/>
  <c r="W49" i="39"/>
  <c r="U57" i="39"/>
  <c r="X58" i="39"/>
  <c r="V59" i="39"/>
  <c r="J25" i="37" s="1"/>
  <c r="Y60" i="39"/>
  <c r="W63" i="39"/>
  <c r="Z64" i="39"/>
  <c r="U49" i="39"/>
  <c r="U20" i="39"/>
  <c r="P22" i="39"/>
  <c r="U26" i="39"/>
  <c r="U34" i="39"/>
  <c r="X35" i="39"/>
  <c r="V36" i="39"/>
  <c r="U41" i="39"/>
  <c r="X42" i="39"/>
  <c r="V43" i="39"/>
  <c r="U48" i="39"/>
  <c r="X49" i="39"/>
  <c r="V50" i="39"/>
  <c r="V57" i="39"/>
  <c r="Y58" i="39"/>
  <c r="W59" i="39"/>
  <c r="Z60" i="39"/>
  <c r="P68" i="39"/>
  <c r="M40" i="39"/>
  <c r="V20" i="39"/>
  <c r="U23" i="39"/>
  <c r="V26" i="39"/>
  <c r="W28" i="39"/>
  <c r="U29" i="39"/>
  <c r="V34" i="39"/>
  <c r="Y35" i="39"/>
  <c r="W36" i="39"/>
  <c r="V41" i="39"/>
  <c r="Y42" i="39"/>
  <c r="W43" i="39"/>
  <c r="U44" i="39"/>
  <c r="V48" i="39"/>
  <c r="Y49" i="39"/>
  <c r="W50" i="39"/>
  <c r="W57" i="39"/>
  <c r="Z58" i="39"/>
  <c r="X59" i="39"/>
  <c r="H25" i="37" s="1"/>
  <c r="M67" i="39"/>
  <c r="I67" i="39" s="1"/>
  <c r="Q67" i="39" s="1"/>
  <c r="Z35" i="39"/>
  <c r="Z42" i="39"/>
  <c r="X20" i="39"/>
  <c r="W23" i="39"/>
  <c r="U25" i="39"/>
  <c r="G28" i="37" s="1"/>
  <c r="X26" i="39"/>
  <c r="V27" i="39"/>
  <c r="Y28" i="39"/>
  <c r="W29" i="39"/>
  <c r="U32" i="39"/>
  <c r="X34" i="39"/>
  <c r="W37" i="39"/>
  <c r="U40" i="39"/>
  <c r="X41" i="39"/>
  <c r="Y43" i="39"/>
  <c r="W44" i="39"/>
  <c r="X48" i="39"/>
  <c r="V56" i="39"/>
  <c r="Y57" i="39"/>
  <c r="Z59" i="39"/>
  <c r="K25" i="37" s="1"/>
  <c r="Z49" i="39"/>
  <c r="U56" i="39"/>
  <c r="G24" i="37" s="1"/>
  <c r="Z63" i="39"/>
  <c r="K23" i="37" s="1"/>
  <c r="Y20" i="39"/>
  <c r="W21" i="39"/>
  <c r="U22" i="39"/>
  <c r="G34" i="37" s="1"/>
  <c r="X23" i="39"/>
  <c r="V25" i="39"/>
  <c r="J28" i="37" s="1"/>
  <c r="Y26" i="39"/>
  <c r="W27" i="39"/>
  <c r="Z28" i="39"/>
  <c r="X29" i="39"/>
  <c r="V32" i="39"/>
  <c r="Y34" i="39"/>
  <c r="Z36" i="39"/>
  <c r="V40" i="39"/>
  <c r="Y41" i="39"/>
  <c r="Z43" i="39"/>
  <c r="X44" i="39"/>
  <c r="V47" i="39"/>
  <c r="J26" i="37" s="1"/>
  <c r="Y48" i="39"/>
  <c r="Z50" i="39"/>
  <c r="K27" i="37" s="1"/>
  <c r="W56" i="39"/>
  <c r="Z57" i="39"/>
  <c r="M64" i="39"/>
  <c r="I64" i="39" s="1"/>
  <c r="Q64" i="39" s="1"/>
  <c r="U68" i="39"/>
  <c r="V81" i="39"/>
  <c r="W40" i="39"/>
  <c r="Z41" i="39"/>
  <c r="Z48" i="39"/>
  <c r="M60" i="39"/>
  <c r="I60" i="39" s="1"/>
  <c r="Q60" i="39" s="1"/>
  <c r="J63" i="39"/>
  <c r="Z23" i="39"/>
  <c r="X25" i="39"/>
  <c r="H28" i="37" s="1"/>
  <c r="Z29" i="39"/>
  <c r="X32" i="39"/>
  <c r="Z37" i="39"/>
  <c r="Z44" i="39"/>
  <c r="M58" i="39"/>
  <c r="I58" i="39" s="1"/>
  <c r="Q58" i="39" s="1"/>
  <c r="J59" i="39"/>
  <c r="K63" i="39"/>
  <c r="W68" i="39"/>
  <c r="Z27" i="39"/>
  <c r="Y32" i="39"/>
  <c r="M35" i="39"/>
  <c r="J36" i="39"/>
  <c r="M42" i="39"/>
  <c r="J43" i="39"/>
  <c r="M49" i="39"/>
  <c r="I49" i="39" s="1"/>
  <c r="Q49" i="39" s="1"/>
  <c r="J50" i="39"/>
  <c r="Z56" i="39"/>
  <c r="K24" i="37" s="1"/>
  <c r="K59" i="39"/>
  <c r="M63" i="39"/>
  <c r="U63" i="39" s="1"/>
  <c r="G23" i="37" s="1"/>
  <c r="U67" i="39"/>
  <c r="X68" i="39"/>
  <c r="Z20" i="39"/>
  <c r="Z26" i="39"/>
  <c r="Z34" i="39"/>
  <c r="Z25" i="39"/>
  <c r="K28" i="37" s="1"/>
  <c r="Z32" i="39"/>
  <c r="K36" i="39"/>
  <c r="Z40" i="39"/>
  <c r="K43" i="39"/>
  <c r="Z47" i="39"/>
  <c r="K26" i="37" s="1"/>
  <c r="K50" i="39"/>
  <c r="M59" i="39"/>
  <c r="V67" i="39"/>
  <c r="Y68" i="39"/>
  <c r="Z81" i="39"/>
  <c r="Z22" i="39"/>
  <c r="M28" i="39"/>
  <c r="J29" i="39"/>
  <c r="P35" i="39"/>
  <c r="M36" i="39"/>
  <c r="U36" i="39" s="1"/>
  <c r="J37" i="39"/>
  <c r="P42" i="39"/>
  <c r="M43" i="39"/>
  <c r="J44" i="39"/>
  <c r="I44" i="39" s="1"/>
  <c r="M50" i="39"/>
  <c r="U50" i="39" s="1"/>
  <c r="G27" i="37" s="1"/>
  <c r="M57" i="39"/>
  <c r="I57" i="39" s="1"/>
  <c r="Q57" i="39" s="1"/>
  <c r="Z68" i="39"/>
  <c r="M20" i="39"/>
  <c r="I20" i="39" s="1"/>
  <c r="Q20" i="39" s="1"/>
  <c r="J21" i="39"/>
  <c r="M26" i="39"/>
  <c r="I26" i="39" s="1"/>
  <c r="Q26" i="39" s="1"/>
  <c r="J27" i="39"/>
  <c r="K29" i="39"/>
  <c r="M34" i="39"/>
  <c r="I34" i="39" s="1"/>
  <c r="Q34" i="39" s="1"/>
  <c r="K37" i="39"/>
  <c r="M41" i="39"/>
  <c r="I41" i="39" s="1"/>
  <c r="Q41" i="39" s="1"/>
  <c r="K44" i="39"/>
  <c r="M48" i="39"/>
  <c r="I48" i="39" s="1"/>
  <c r="Q48" i="39" s="1"/>
  <c r="J56" i="39"/>
  <c r="P59" i="39"/>
  <c r="U64" i="39"/>
  <c r="V71" i="39"/>
  <c r="J37" i="37" s="1"/>
  <c r="L37" i="37" s="1"/>
  <c r="Z21" i="39"/>
  <c r="K34" i="37" s="1"/>
  <c r="K21" i="39"/>
  <c r="M23" i="39"/>
  <c r="I23" i="39" s="1"/>
  <c r="Q23" i="39" s="1"/>
  <c r="J25" i="39"/>
  <c r="I25" i="39" s="1"/>
  <c r="Q25" i="39" s="1"/>
  <c r="K27" i="39"/>
  <c r="P28" i="39"/>
  <c r="M29" i="39"/>
  <c r="J32" i="39"/>
  <c r="I32" i="39" s="1"/>
  <c r="Q32" i="39" s="1"/>
  <c r="P36" i="39"/>
  <c r="M37" i="39"/>
  <c r="U37" i="39" s="1"/>
  <c r="J40" i="39"/>
  <c r="I40" i="39" s="1"/>
  <c r="P43" i="39"/>
  <c r="M44" i="39"/>
  <c r="P50" i="39"/>
  <c r="K56" i="39"/>
  <c r="J26" i="36"/>
  <c r="I20" i="25" s="1"/>
  <c r="D5" i="30"/>
  <c r="F5" i="30"/>
  <c r="E5" i="30"/>
  <c r="J34" i="37" l="1"/>
  <c r="L34" i="37" s="1"/>
  <c r="J27" i="37"/>
  <c r="K22" i="37"/>
  <c r="J24" i="37"/>
  <c r="G22" i="37"/>
  <c r="J22" i="37"/>
  <c r="J28" i="38"/>
  <c r="L28" i="38" s="1"/>
  <c r="J26" i="38"/>
  <c r="J29" i="38"/>
  <c r="Q27" i="42"/>
  <c r="R27" i="42" s="1"/>
  <c r="S27" i="42" s="1"/>
  <c r="J29" i="37"/>
  <c r="J23" i="37"/>
  <c r="L25" i="37"/>
  <c r="L28" i="37"/>
  <c r="K40" i="37"/>
  <c r="J25" i="38"/>
  <c r="L25" i="38" s="1"/>
  <c r="J23" i="38"/>
  <c r="J24" i="38"/>
  <c r="J22" i="38"/>
  <c r="J27" i="38"/>
  <c r="I40" i="42"/>
  <c r="Q40" i="42" s="1"/>
  <c r="R40" i="42" s="1"/>
  <c r="X40" i="42" s="1"/>
  <c r="H22" i="38" s="1"/>
  <c r="Q21" i="42"/>
  <c r="R21" i="42" s="1"/>
  <c r="I29" i="42"/>
  <c r="Q29" i="42" s="1"/>
  <c r="R29" i="42" s="1"/>
  <c r="S29" i="42" s="1"/>
  <c r="Q40" i="39"/>
  <c r="R40" i="39" s="1"/>
  <c r="X40" i="39" s="1"/>
  <c r="H22" i="37" s="1"/>
  <c r="I21" i="39"/>
  <c r="Q21" i="39" s="1"/>
  <c r="R21" i="39" s="1"/>
  <c r="S21" i="39" s="1"/>
  <c r="I42" i="39"/>
  <c r="Q42" i="39" s="1"/>
  <c r="R42" i="39" s="1"/>
  <c r="S42" i="39" s="1"/>
  <c r="Q22" i="39"/>
  <c r="R22" i="39" s="1"/>
  <c r="S22" i="39" s="1"/>
  <c r="Q47" i="39"/>
  <c r="R47" i="39" s="1"/>
  <c r="X47" i="39" s="1"/>
  <c r="H26" i="37" s="1"/>
  <c r="I68" i="39"/>
  <c r="Q68" i="39" s="1"/>
  <c r="R68" i="39" s="1"/>
  <c r="S68" i="39" s="1"/>
  <c r="Z74" i="42"/>
  <c r="J25" i="36" s="1"/>
  <c r="Z75" i="42" s="1"/>
  <c r="W74" i="39"/>
  <c r="R56" i="42"/>
  <c r="X56" i="42" s="1"/>
  <c r="H24" i="38" s="1"/>
  <c r="R22" i="42"/>
  <c r="S22" i="42" s="1"/>
  <c r="R23" i="42"/>
  <c r="S23" i="42" s="1"/>
  <c r="I43" i="42"/>
  <c r="Q43" i="42" s="1"/>
  <c r="R67" i="42"/>
  <c r="S67" i="42" s="1"/>
  <c r="R41" i="42"/>
  <c r="S41" i="42" s="1"/>
  <c r="R42" i="42"/>
  <c r="S42" i="42" s="1"/>
  <c r="I35" i="42"/>
  <c r="Q35" i="42" s="1"/>
  <c r="I59" i="42"/>
  <c r="Q59" i="42" s="1"/>
  <c r="I63" i="42"/>
  <c r="Q63" i="42" s="1"/>
  <c r="R58" i="42"/>
  <c r="S58" i="42" s="1"/>
  <c r="R60" i="42"/>
  <c r="S60" i="42" s="1"/>
  <c r="V74" i="42"/>
  <c r="R28" i="42"/>
  <c r="S28" i="42" s="1"/>
  <c r="I36" i="42"/>
  <c r="Q36" i="42" s="1"/>
  <c r="R47" i="42"/>
  <c r="X47" i="42" s="1"/>
  <c r="H26" i="38" s="1"/>
  <c r="R57" i="42"/>
  <c r="S57" i="42" s="1"/>
  <c r="R64" i="42"/>
  <c r="S64" i="42" s="1"/>
  <c r="W74" i="42"/>
  <c r="I32" i="42"/>
  <c r="Q32" i="42" s="1"/>
  <c r="I44" i="42"/>
  <c r="Q44" i="42" s="1"/>
  <c r="I50" i="42"/>
  <c r="Q50" i="42" s="1"/>
  <c r="R49" i="42"/>
  <c r="S49" i="42" s="1"/>
  <c r="I25" i="42"/>
  <c r="Q25" i="42" s="1"/>
  <c r="I37" i="42"/>
  <c r="Q37" i="42" s="1"/>
  <c r="I27" i="39"/>
  <c r="Q27" i="39" s="1"/>
  <c r="R26" i="39"/>
  <c r="S26" i="39" s="1"/>
  <c r="I59" i="39"/>
  <c r="Q59" i="39" s="1"/>
  <c r="R25" i="39"/>
  <c r="S25" i="39" s="1"/>
  <c r="R23" i="39"/>
  <c r="S23" i="39" s="1"/>
  <c r="R20" i="39"/>
  <c r="S20" i="39" s="1"/>
  <c r="R64" i="39"/>
  <c r="S64" i="39" s="1"/>
  <c r="R58" i="39"/>
  <c r="S58" i="39" s="1"/>
  <c r="I50" i="39"/>
  <c r="Q50" i="39" s="1"/>
  <c r="U47" i="39"/>
  <c r="G26" i="37" s="1"/>
  <c r="R57" i="39"/>
  <c r="S57" i="39" s="1"/>
  <c r="R49" i="39"/>
  <c r="S49" i="39" s="1"/>
  <c r="Q44" i="39"/>
  <c r="I43" i="39"/>
  <c r="Q43" i="39" s="1"/>
  <c r="R67" i="39"/>
  <c r="S67" i="39" s="1"/>
  <c r="I56" i="39"/>
  <c r="Q56" i="39" s="1"/>
  <c r="R48" i="39"/>
  <c r="S48" i="39" s="1"/>
  <c r="I37" i="39"/>
  <c r="Q37" i="39" s="1"/>
  <c r="I36" i="39"/>
  <c r="Q36" i="39" s="1"/>
  <c r="I35" i="39"/>
  <c r="Q35" i="39" s="1"/>
  <c r="R41" i="39"/>
  <c r="S41" i="39" s="1"/>
  <c r="I63" i="39"/>
  <c r="Q63" i="39" s="1"/>
  <c r="V74" i="39"/>
  <c r="I29" i="39"/>
  <c r="Q29" i="39" s="1"/>
  <c r="Z74" i="39"/>
  <c r="J25" i="35" s="1"/>
  <c r="Z75" i="39" s="1"/>
  <c r="R60" i="39"/>
  <c r="S60" i="39" s="1"/>
  <c r="R32" i="39"/>
  <c r="S32" i="39" s="1"/>
  <c r="R34" i="39"/>
  <c r="S34" i="39" s="1"/>
  <c r="I28" i="39"/>
  <c r="Q28" i="39" s="1"/>
  <c r="B2" i="15"/>
  <c r="J40" i="37" l="1"/>
  <c r="J23" i="36"/>
  <c r="J24" i="36"/>
  <c r="S21" i="42"/>
  <c r="S47" i="42"/>
  <c r="Y47" i="42" s="1"/>
  <c r="I26" i="38" s="1"/>
  <c r="L26" i="38" s="1"/>
  <c r="J24" i="35"/>
  <c r="J23" i="35"/>
  <c r="R43" i="42"/>
  <c r="S43" i="42" s="1"/>
  <c r="S40" i="42"/>
  <c r="Y40" i="42" s="1"/>
  <c r="I22" i="38" s="1"/>
  <c r="L22" i="38" s="1"/>
  <c r="R63" i="42"/>
  <c r="X63" i="42" s="1"/>
  <c r="H23" i="38" s="1"/>
  <c r="R59" i="42"/>
  <c r="S59" i="42" s="1"/>
  <c r="R35" i="42"/>
  <c r="S35" i="42" s="1"/>
  <c r="R50" i="42"/>
  <c r="X50" i="42" s="1"/>
  <c r="H27" i="38" s="1"/>
  <c r="R32" i="42"/>
  <c r="S32" i="42" s="1"/>
  <c r="R44" i="42"/>
  <c r="S44" i="42" s="1"/>
  <c r="R37" i="42"/>
  <c r="X37" i="42" s="1"/>
  <c r="S56" i="42"/>
  <c r="Y56" i="42" s="1"/>
  <c r="I24" i="38" s="1"/>
  <c r="L24" i="38" s="1"/>
  <c r="R36" i="42"/>
  <c r="X36" i="42" s="1"/>
  <c r="R25" i="42"/>
  <c r="S25" i="42" s="1"/>
  <c r="R35" i="39"/>
  <c r="S35" i="39" s="1"/>
  <c r="R59" i="39"/>
  <c r="S59" i="39" s="1"/>
  <c r="R36" i="39"/>
  <c r="X36" i="39" s="1"/>
  <c r="R50" i="39"/>
  <c r="X50" i="39" s="1"/>
  <c r="H27" i="37" s="1"/>
  <c r="S40" i="39"/>
  <c r="Y40" i="39" s="1"/>
  <c r="I22" i="37" s="1"/>
  <c r="L22" i="37" s="1"/>
  <c r="R29" i="39"/>
  <c r="S29" i="39" s="1"/>
  <c r="R37" i="39"/>
  <c r="X37" i="39" s="1"/>
  <c r="R56" i="39"/>
  <c r="X56" i="39" s="1"/>
  <c r="H24" i="37" s="1"/>
  <c r="S47" i="39"/>
  <c r="Y47" i="39" s="1"/>
  <c r="I26" i="37" s="1"/>
  <c r="L26" i="37" s="1"/>
  <c r="R63" i="39"/>
  <c r="X63" i="39" s="1"/>
  <c r="H23" i="37" s="1"/>
  <c r="R43" i="39"/>
  <c r="S43" i="39" s="1"/>
  <c r="R27" i="39"/>
  <c r="S27" i="39" s="1"/>
  <c r="R44" i="39"/>
  <c r="S44" i="39" s="1"/>
  <c r="R28" i="39"/>
  <c r="S28" i="39" s="1"/>
  <c r="J28" i="7"/>
  <c r="I19" i="25" l="1"/>
  <c r="G19" i="25"/>
  <c r="S37" i="42"/>
  <c r="Y37" i="42" s="1"/>
  <c r="S36" i="39"/>
  <c r="Y36" i="39" s="1"/>
  <c r="S36" i="42"/>
  <c r="Y36" i="42" s="1"/>
  <c r="S50" i="42"/>
  <c r="Y50" i="42" s="1"/>
  <c r="I27" i="38" s="1"/>
  <c r="L27" i="38" s="1"/>
  <c r="S63" i="42"/>
  <c r="Y63" i="42" s="1"/>
  <c r="I23" i="38" s="1"/>
  <c r="L23" i="38" s="1"/>
  <c r="S37" i="39"/>
  <c r="Y37" i="39" s="1"/>
  <c r="S63" i="39"/>
  <c r="Y63" i="39" s="1"/>
  <c r="I23" i="37" s="1"/>
  <c r="S50" i="39"/>
  <c r="Y50" i="39" s="1"/>
  <c r="I27" i="37" s="1"/>
  <c r="L27" i="37" s="1"/>
  <c r="S56" i="39"/>
  <c r="Y56" i="39" s="1"/>
  <c r="I24" i="37" s="1"/>
  <c r="L24" i="37" s="1"/>
  <c r="C37" i="28"/>
  <c r="U72" i="19" s="1"/>
  <c r="G37" i="28" s="1"/>
  <c r="L37" i="28" s="1"/>
  <c r="C36" i="28"/>
  <c r="C38" i="13"/>
  <c r="U72" i="4" s="1"/>
  <c r="C37" i="13"/>
  <c r="L23" i="37" l="1"/>
  <c r="G38" i="13"/>
  <c r="L38" i="13" s="1"/>
  <c r="L38" i="38"/>
  <c r="W15" i="19"/>
  <c r="W68" i="19" s="1"/>
  <c r="V15" i="19"/>
  <c r="V67" i="19" s="1"/>
  <c r="W67" i="19"/>
  <c r="W64" i="19"/>
  <c r="V64" i="19"/>
  <c r="W59" i="19"/>
  <c r="V59" i="19"/>
  <c r="W58" i="19"/>
  <c r="W49" i="19"/>
  <c r="W47" i="19"/>
  <c r="V47" i="19"/>
  <c r="F44" i="19"/>
  <c r="E44" i="19"/>
  <c r="F43" i="19"/>
  <c r="E43" i="19"/>
  <c r="W42" i="19"/>
  <c r="W40" i="19"/>
  <c r="W35" i="19"/>
  <c r="F34" i="19"/>
  <c r="E34" i="19"/>
  <c r="W32" i="19"/>
  <c r="F29" i="19"/>
  <c r="E29" i="19"/>
  <c r="W28" i="19"/>
  <c r="V28" i="19"/>
  <c r="F27" i="19"/>
  <c r="E27" i="19"/>
  <c r="W26" i="19"/>
  <c r="F25" i="19"/>
  <c r="E25" i="19"/>
  <c r="W23" i="19"/>
  <c r="V23" i="19"/>
  <c r="F22" i="19"/>
  <c r="E22" i="19"/>
  <c r="F21" i="19"/>
  <c r="E21" i="19"/>
  <c r="W20" i="19"/>
  <c r="C5" i="28"/>
  <c r="B3" i="19"/>
  <c r="M67" i="19" s="1"/>
  <c r="B2" i="19"/>
  <c r="O68" i="19"/>
  <c r="C6" i="28"/>
  <c r="B4" i="19"/>
  <c r="C9" i="28"/>
  <c r="B7" i="19" s="1"/>
  <c r="C8" i="28"/>
  <c r="B6" i="19" s="1"/>
  <c r="O67" i="19"/>
  <c r="O64" i="19"/>
  <c r="O63" i="19"/>
  <c r="O60" i="19"/>
  <c r="O59" i="19"/>
  <c r="O58" i="19"/>
  <c r="O57" i="19"/>
  <c r="O56" i="19"/>
  <c r="O50" i="19"/>
  <c r="O49" i="19"/>
  <c r="O48" i="19"/>
  <c r="O47" i="19"/>
  <c r="O44" i="19"/>
  <c r="O43" i="19"/>
  <c r="O42" i="19"/>
  <c r="O41" i="19"/>
  <c r="O40" i="19"/>
  <c r="O37" i="19"/>
  <c r="O36" i="19"/>
  <c r="O35" i="19"/>
  <c r="O34" i="19"/>
  <c r="O32" i="19"/>
  <c r="O29" i="19"/>
  <c r="O28" i="19"/>
  <c r="O27" i="19"/>
  <c r="O26" i="19"/>
  <c r="O25" i="19"/>
  <c r="O23" i="19"/>
  <c r="O22" i="19"/>
  <c r="O21" i="19"/>
  <c r="O20" i="19"/>
  <c r="F50" i="19"/>
  <c r="E50" i="19"/>
  <c r="W16" i="19"/>
  <c r="F56" i="19"/>
  <c r="E56" i="19"/>
  <c r="F36" i="19"/>
  <c r="E36" i="19"/>
  <c r="F37" i="19"/>
  <c r="Z37" i="19" s="1"/>
  <c r="E37" i="19"/>
  <c r="V16" i="19"/>
  <c r="F48" i="19"/>
  <c r="E48" i="19"/>
  <c r="F41" i="19"/>
  <c r="E41" i="19"/>
  <c r="F63" i="19"/>
  <c r="E63" i="19"/>
  <c r="E12" i="34"/>
  <c r="E2" i="34"/>
  <c r="B12" i="34"/>
  <c r="B2" i="34"/>
  <c r="B3" i="4"/>
  <c r="J36" i="4" s="1"/>
  <c r="O21" i="4"/>
  <c r="B4" i="4"/>
  <c r="B7" i="4"/>
  <c r="B6" i="4"/>
  <c r="P21" i="4" s="1"/>
  <c r="O56" i="4"/>
  <c r="J47" i="4"/>
  <c r="O68" i="4"/>
  <c r="O67" i="4"/>
  <c r="O64" i="4"/>
  <c r="O63" i="4"/>
  <c r="O60" i="4"/>
  <c r="O59" i="4"/>
  <c r="O58" i="4"/>
  <c r="O57" i="4"/>
  <c r="O50" i="4"/>
  <c r="O49" i="4"/>
  <c r="O48" i="4"/>
  <c r="O47" i="4"/>
  <c r="O44" i="4"/>
  <c r="O43" i="4"/>
  <c r="O42" i="4"/>
  <c r="O41" i="4"/>
  <c r="O37" i="4"/>
  <c r="O36" i="4"/>
  <c r="O35" i="4"/>
  <c r="O34" i="4"/>
  <c r="O32" i="4"/>
  <c r="O29" i="4"/>
  <c r="O28" i="4"/>
  <c r="O27" i="4"/>
  <c r="O26" i="4"/>
  <c r="O25" i="4"/>
  <c r="O23" i="4"/>
  <c r="O22" i="4"/>
  <c r="O20" i="4"/>
  <c r="O40" i="4"/>
  <c r="B14" i="28"/>
  <c r="J29" i="18"/>
  <c r="J29" i="7"/>
  <c r="Z16" i="19"/>
  <c r="Z16" i="4"/>
  <c r="G17" i="30"/>
  <c r="P15" i="18"/>
  <c r="M13" i="18"/>
  <c r="O13" i="18"/>
  <c r="P13" i="18"/>
  <c r="P14" i="18" s="1"/>
  <c r="P13" i="7"/>
  <c r="P14" i="7" s="1"/>
  <c r="R13" i="18"/>
  <c r="F32" i="4"/>
  <c r="F29" i="4"/>
  <c r="J8" i="7"/>
  <c r="J7" i="7"/>
  <c r="J6" i="7"/>
  <c r="J9" i="7" s="1"/>
  <c r="D36" i="4"/>
  <c r="E36" i="4"/>
  <c r="F36" i="4"/>
  <c r="F63" i="4"/>
  <c r="F59" i="4"/>
  <c r="F56" i="4"/>
  <c r="F51" i="4"/>
  <c r="F50" i="4"/>
  <c r="F47" i="4"/>
  <c r="F44" i="4"/>
  <c r="F43" i="4"/>
  <c r="F40" i="4"/>
  <c r="F37" i="4"/>
  <c r="F27" i="4"/>
  <c r="F25" i="4"/>
  <c r="F22" i="4"/>
  <c r="F21" i="4"/>
  <c r="G50" i="28"/>
  <c r="G49" i="28"/>
  <c r="C31" i="28"/>
  <c r="C32" i="28"/>
  <c r="C34" i="28"/>
  <c r="C33" i="28"/>
  <c r="D27" i="19"/>
  <c r="D22" i="19"/>
  <c r="D21" i="19"/>
  <c r="D29" i="19"/>
  <c r="D29" i="4"/>
  <c r="C33" i="13"/>
  <c r="D44" i="19"/>
  <c r="D43" i="19"/>
  <c r="D37" i="19"/>
  <c r="D36" i="19"/>
  <c r="Z15" i="19"/>
  <c r="D43" i="4"/>
  <c r="E43" i="4"/>
  <c r="J53" i="13"/>
  <c r="I52" i="13"/>
  <c r="L52" i="13" s="1"/>
  <c r="D44" i="4"/>
  <c r="E44" i="4"/>
  <c r="D37" i="4"/>
  <c r="E37" i="4"/>
  <c r="I51" i="13"/>
  <c r="L51" i="13" s="1"/>
  <c r="C32" i="13" s="1"/>
  <c r="Z15" i="4"/>
  <c r="Z60" i="4" s="1"/>
  <c r="C35" i="13"/>
  <c r="C34" i="13"/>
  <c r="J52" i="13"/>
  <c r="J51" i="13"/>
  <c r="I53" i="13"/>
  <c r="D27" i="4"/>
  <c r="E27" i="4"/>
  <c r="U27" i="4" s="1"/>
  <c r="D22" i="4"/>
  <c r="E22" i="4"/>
  <c r="D21" i="4"/>
  <c r="E21" i="4"/>
  <c r="E29" i="4"/>
  <c r="B34" i="30"/>
  <c r="B47" i="18"/>
  <c r="B47" i="7"/>
  <c r="J33" i="18"/>
  <c r="G21" i="30"/>
  <c r="J33" i="7"/>
  <c r="E25" i="25"/>
  <c r="J26" i="18"/>
  <c r="B36" i="30"/>
  <c r="B35" i="30"/>
  <c r="B15" i="19"/>
  <c r="B15" i="4"/>
  <c r="L17" i="7"/>
  <c r="S11" i="7"/>
  <c r="J12" i="18"/>
  <c r="G11" i="30"/>
  <c r="D41" i="19"/>
  <c r="D34" i="19"/>
  <c r="D40" i="4"/>
  <c r="D32" i="4"/>
  <c r="E32" i="4"/>
  <c r="D25" i="4"/>
  <c r="E25" i="4"/>
  <c r="R14" i="18"/>
  <c r="J13" i="18"/>
  <c r="N15" i="18"/>
  <c r="N15" i="7"/>
  <c r="N14" i="18"/>
  <c r="N14" i="7"/>
  <c r="N13" i="7"/>
  <c r="J16" i="7"/>
  <c r="J43" i="18"/>
  <c r="J44" i="18"/>
  <c r="G31" i="30"/>
  <c r="C7" i="28"/>
  <c r="B5" i="19" s="1"/>
  <c r="C26" i="28"/>
  <c r="C25" i="28"/>
  <c r="D50" i="19"/>
  <c r="S13" i="7"/>
  <c r="T13" i="7" s="1"/>
  <c r="R14" i="7"/>
  <c r="T14" i="7" s="1"/>
  <c r="R13" i="7"/>
  <c r="L79" i="19"/>
  <c r="L51" i="19"/>
  <c r="C87" i="7"/>
  <c r="B2" i="18"/>
  <c r="B2" i="30" s="1"/>
  <c r="D25" i="19"/>
  <c r="C22" i="28"/>
  <c r="C23" i="28"/>
  <c r="C24" i="28"/>
  <c r="C27" i="28"/>
  <c r="Y16" i="19"/>
  <c r="X16" i="19"/>
  <c r="U16" i="19"/>
  <c r="Y15" i="19"/>
  <c r="Y59" i="19" s="1"/>
  <c r="X15" i="19"/>
  <c r="X67" i="19" s="1"/>
  <c r="U15" i="19"/>
  <c r="U64" i="19" s="1"/>
  <c r="B8" i="19"/>
  <c r="O79" i="19"/>
  <c r="C76" i="18"/>
  <c r="Z51" i="19" s="1"/>
  <c r="K28" i="28" s="1"/>
  <c r="C22" i="13"/>
  <c r="D63" i="19"/>
  <c r="D56" i="19"/>
  <c r="D48" i="19"/>
  <c r="O51" i="19"/>
  <c r="R15" i="18"/>
  <c r="R15" i="7"/>
  <c r="T15" i="7" s="1"/>
  <c r="D63" i="4"/>
  <c r="E63" i="4"/>
  <c r="D59" i="4"/>
  <c r="E59" i="4"/>
  <c r="D56" i="4"/>
  <c r="E56" i="4"/>
  <c r="D50" i="4"/>
  <c r="E50" i="4"/>
  <c r="D47" i="4"/>
  <c r="E47" i="4"/>
  <c r="E40" i="4"/>
  <c r="C23" i="13"/>
  <c r="C25" i="13"/>
  <c r="C24" i="13"/>
  <c r="C27" i="13"/>
  <c r="C26" i="13"/>
  <c r="C28" i="13"/>
  <c r="E30" i="7"/>
  <c r="E21" i="25"/>
  <c r="Y16" i="4"/>
  <c r="X16" i="4"/>
  <c r="W16" i="4"/>
  <c r="V16" i="4"/>
  <c r="U16" i="4"/>
  <c r="B8" i="4"/>
  <c r="O51" i="4" s="1"/>
  <c r="B25" i="20"/>
  <c r="Y15" i="4"/>
  <c r="Y68" i="4" s="1"/>
  <c r="X15" i="4"/>
  <c r="X28" i="4" s="1"/>
  <c r="W15" i="4"/>
  <c r="W48" i="4" s="1"/>
  <c r="V15" i="4"/>
  <c r="U15" i="4"/>
  <c r="U57" i="4" s="1"/>
  <c r="C5" i="24"/>
  <c r="D61" i="7"/>
  <c r="D60" i="7"/>
  <c r="J27" i="7" s="1"/>
  <c r="H103" i="4"/>
  <c r="H102" i="4"/>
  <c r="E30" i="18"/>
  <c r="C6" i="20"/>
  <c r="F50" i="20" s="1"/>
  <c r="C9" i="20"/>
  <c r="F23" i="20"/>
  <c r="C23" i="20"/>
  <c r="D23" i="20"/>
  <c r="C22" i="20"/>
  <c r="D22" i="20" s="1"/>
  <c r="C21" i="20"/>
  <c r="D21" i="20" s="1"/>
  <c r="C20" i="20"/>
  <c r="D20" i="20" s="1"/>
  <c r="C19" i="20"/>
  <c r="D19" i="20" s="1"/>
  <c r="C18" i="20"/>
  <c r="D18" i="20" s="1"/>
  <c r="J8" i="18"/>
  <c r="G7" i="30"/>
  <c r="J7" i="18"/>
  <c r="G6" i="30"/>
  <c r="E9" i="25"/>
  <c r="E10" i="25"/>
  <c r="V23" i="4"/>
  <c r="J28" i="18"/>
  <c r="J14" i="18"/>
  <c r="J15" i="18"/>
  <c r="J16" i="18"/>
  <c r="J17" i="18"/>
  <c r="J18" i="18"/>
  <c r="J19" i="18"/>
  <c r="J20" i="18"/>
  <c r="J31" i="18"/>
  <c r="G19" i="30"/>
  <c r="J34" i="18"/>
  <c r="G22" i="30"/>
  <c r="J6" i="18"/>
  <c r="B5" i="4"/>
  <c r="J43" i="7"/>
  <c r="J44" i="7"/>
  <c r="J12" i="7"/>
  <c r="E14" i="25"/>
  <c r="J13" i="7"/>
  <c r="J14" i="7"/>
  <c r="J15" i="7"/>
  <c r="J17" i="7"/>
  <c r="J18" i="7"/>
  <c r="J19" i="7"/>
  <c r="J20" i="7"/>
  <c r="J31" i="7"/>
  <c r="E23" i="25"/>
  <c r="J34" i="7"/>
  <c r="E26" i="25"/>
  <c r="E8" i="25"/>
  <c r="B48" i="18"/>
  <c r="B49" i="18"/>
  <c r="B49" i="7"/>
  <c r="B48" i="7"/>
  <c r="G12" i="30"/>
  <c r="G13" i="30"/>
  <c r="E17" i="25"/>
  <c r="E35" i="25"/>
  <c r="J32" i="18"/>
  <c r="G20" i="30" s="1"/>
  <c r="G5" i="30"/>
  <c r="G8" i="30" s="1"/>
  <c r="J32" i="7"/>
  <c r="J9" i="18"/>
  <c r="Y57" i="19"/>
  <c r="W68" i="4"/>
  <c r="V42" i="4"/>
  <c r="W22" i="4"/>
  <c r="Y49" i="19"/>
  <c r="W64" i="4"/>
  <c r="V41" i="4"/>
  <c r="V48" i="4"/>
  <c r="X26" i="19"/>
  <c r="K32" i="28"/>
  <c r="Y58" i="4"/>
  <c r="V28" i="4"/>
  <c r="V68" i="4"/>
  <c r="X60" i="19"/>
  <c r="V60" i="4"/>
  <c r="V57" i="4"/>
  <c r="V20" i="4"/>
  <c r="V58" i="4"/>
  <c r="Y49" i="4"/>
  <c r="Z68" i="19"/>
  <c r="Y32" i="19"/>
  <c r="X59" i="19"/>
  <c r="V64" i="4"/>
  <c r="V35" i="4"/>
  <c r="V49" i="4"/>
  <c r="V67" i="4"/>
  <c r="V26" i="4"/>
  <c r="Y23" i="4"/>
  <c r="V34" i="4"/>
  <c r="U60" i="4"/>
  <c r="U67" i="4"/>
  <c r="Z58" i="19"/>
  <c r="W41" i="4"/>
  <c r="W35" i="4"/>
  <c r="U26" i="4"/>
  <c r="Y64" i="19"/>
  <c r="Y42" i="19"/>
  <c r="V22" i="4"/>
  <c r="G34" i="13"/>
  <c r="G32" i="28"/>
  <c r="G34" i="28"/>
  <c r="K34" i="28"/>
  <c r="K33" i="28"/>
  <c r="G33" i="28"/>
  <c r="J32" i="28"/>
  <c r="G31" i="28"/>
  <c r="J33" i="28"/>
  <c r="J31" i="28"/>
  <c r="K31" i="28"/>
  <c r="J34" i="28"/>
  <c r="J34" i="13"/>
  <c r="K35" i="13"/>
  <c r="K34" i="13"/>
  <c r="G35" i="13"/>
  <c r="J35" i="13"/>
  <c r="E21" i="24"/>
  <c r="E22" i="24" s="1"/>
  <c r="J30" i="18"/>
  <c r="G18" i="30" s="1"/>
  <c r="Z41" i="19"/>
  <c r="K22" i="28" s="1"/>
  <c r="I32" i="28"/>
  <c r="H32" i="28"/>
  <c r="Y20" i="4"/>
  <c r="I34" i="28"/>
  <c r="H34" i="28"/>
  <c r="H33" i="28"/>
  <c r="I33" i="28"/>
  <c r="H35" i="13"/>
  <c r="H34" i="13"/>
  <c r="I35" i="13"/>
  <c r="I34" i="13"/>
  <c r="J27" i="18"/>
  <c r="H31" i="28"/>
  <c r="I31" i="28"/>
  <c r="E11" i="25" l="1"/>
  <c r="C8" i="24"/>
  <c r="C13" i="24" s="1"/>
  <c r="C21" i="24" s="1"/>
  <c r="C22" i="24" s="1"/>
  <c r="J30" i="7" s="1"/>
  <c r="G18" i="43" s="1"/>
  <c r="G5" i="43"/>
  <c r="G8" i="43" s="1"/>
  <c r="E50" i="20"/>
  <c r="G50" i="20" s="1"/>
  <c r="H50" i="20"/>
  <c r="I50" i="20" s="1"/>
  <c r="L81" i="4"/>
  <c r="C25" i="20"/>
  <c r="D25" i="20" s="1"/>
  <c r="E25" i="20"/>
  <c r="E27" i="20"/>
  <c r="H27" i="20"/>
  <c r="H26" i="20"/>
  <c r="E26" i="20"/>
  <c r="F22" i="20"/>
  <c r="F27" i="20"/>
  <c r="F26" i="20"/>
  <c r="F18" i="20"/>
  <c r="E24" i="25"/>
  <c r="G20" i="43"/>
  <c r="P40" i="4"/>
  <c r="O81" i="4"/>
  <c r="U42" i="4"/>
  <c r="F20" i="20"/>
  <c r="L51" i="4"/>
  <c r="M51" i="4" s="1"/>
  <c r="U81" i="4" s="1"/>
  <c r="F19" i="20"/>
  <c r="F25" i="20"/>
  <c r="G25" i="20" s="1"/>
  <c r="E20" i="20"/>
  <c r="E22" i="20"/>
  <c r="G22" i="20" s="1"/>
  <c r="E18" i="20"/>
  <c r="G18" i="20" s="1"/>
  <c r="F21" i="20"/>
  <c r="H21" i="20"/>
  <c r="I21" i="20" s="1"/>
  <c r="H18" i="20"/>
  <c r="I18" i="20" s="1"/>
  <c r="H19" i="20"/>
  <c r="I19" i="20" s="1"/>
  <c r="H25" i="20"/>
  <c r="V59" i="4"/>
  <c r="V21" i="4"/>
  <c r="B14" i="13"/>
  <c r="V44" i="4"/>
  <c r="J32" i="13" s="1"/>
  <c r="J41" i="7"/>
  <c r="Y21" i="19"/>
  <c r="W22" i="19"/>
  <c r="G16" i="30"/>
  <c r="U21" i="19"/>
  <c r="X68" i="19"/>
  <c r="X35" i="19"/>
  <c r="X49" i="19"/>
  <c r="W27" i="19"/>
  <c r="W21" i="19"/>
  <c r="X20" i="19"/>
  <c r="X28" i="19"/>
  <c r="X40" i="19"/>
  <c r="Z25" i="19"/>
  <c r="K27" i="28" s="1"/>
  <c r="X44" i="19"/>
  <c r="U25" i="19"/>
  <c r="G27" i="28" s="1"/>
  <c r="V21" i="19"/>
  <c r="V22" i="19"/>
  <c r="W57" i="19"/>
  <c r="W60" i="19"/>
  <c r="V68" i="19"/>
  <c r="Z21" i="19"/>
  <c r="U28" i="19"/>
  <c r="Y25" i="19"/>
  <c r="I27" i="28" s="1"/>
  <c r="U44" i="19"/>
  <c r="X21" i="19"/>
  <c r="W29" i="19"/>
  <c r="W43" i="19"/>
  <c r="Y22" i="19"/>
  <c r="Y27" i="19"/>
  <c r="Y26" i="19"/>
  <c r="Y40" i="19"/>
  <c r="Y35" i="19"/>
  <c r="Y68" i="19"/>
  <c r="Y60" i="19"/>
  <c r="V27" i="19"/>
  <c r="W34" i="19"/>
  <c r="Y28" i="19"/>
  <c r="Y23" i="19"/>
  <c r="Y67" i="19"/>
  <c r="W44" i="19"/>
  <c r="Y20" i="19"/>
  <c r="Z22" i="19"/>
  <c r="Z26" i="19"/>
  <c r="U40" i="19"/>
  <c r="Y58" i="19"/>
  <c r="Y47" i="19"/>
  <c r="W25" i="19"/>
  <c r="X29" i="19"/>
  <c r="X43" i="19"/>
  <c r="V60" i="19"/>
  <c r="Z48" i="19"/>
  <c r="K25" i="28" s="1"/>
  <c r="Z20" i="19"/>
  <c r="U59" i="19"/>
  <c r="Z56" i="19"/>
  <c r="K24" i="28" s="1"/>
  <c r="Z23" i="19"/>
  <c r="Z36" i="19"/>
  <c r="X34" i="19"/>
  <c r="Y44" i="19"/>
  <c r="Y43" i="19"/>
  <c r="U22" i="19"/>
  <c r="U20" i="19"/>
  <c r="U29" i="19"/>
  <c r="Z64" i="19"/>
  <c r="Z42" i="19"/>
  <c r="Z44" i="19"/>
  <c r="Z47" i="19"/>
  <c r="U60" i="19"/>
  <c r="U35" i="19"/>
  <c r="U58" i="19"/>
  <c r="Z49" i="19"/>
  <c r="U23" i="19"/>
  <c r="X64" i="19"/>
  <c r="Z63" i="19"/>
  <c r="K23" i="28" s="1"/>
  <c r="Z35" i="19"/>
  <c r="Z43" i="19"/>
  <c r="U57" i="19"/>
  <c r="W50" i="19"/>
  <c r="V20" i="19"/>
  <c r="V25" i="19"/>
  <c r="J27" i="28" s="1"/>
  <c r="V26" i="19"/>
  <c r="V29" i="19"/>
  <c r="V32" i="19"/>
  <c r="V34" i="19"/>
  <c r="V35" i="19"/>
  <c r="V40" i="19"/>
  <c r="V42" i="19"/>
  <c r="V43" i="19"/>
  <c r="V44" i="19"/>
  <c r="V49" i="19"/>
  <c r="V57" i="19"/>
  <c r="V58" i="19"/>
  <c r="U27" i="19"/>
  <c r="Z60" i="19"/>
  <c r="U26" i="19"/>
  <c r="U67" i="19"/>
  <c r="U49" i="19"/>
  <c r="U32" i="19"/>
  <c r="Y34" i="19"/>
  <c r="X22" i="19"/>
  <c r="X25" i="19"/>
  <c r="H27" i="28" s="1"/>
  <c r="Y29" i="19"/>
  <c r="X27" i="19"/>
  <c r="Z34" i="19"/>
  <c r="U43" i="19"/>
  <c r="U34" i="19"/>
  <c r="Z59" i="19"/>
  <c r="Z28" i="19"/>
  <c r="Z27" i="19"/>
  <c r="X23" i="19"/>
  <c r="X58" i="19"/>
  <c r="Z32" i="19"/>
  <c r="Z67" i="19"/>
  <c r="U68" i="19"/>
  <c r="Z50" i="19"/>
  <c r="K26" i="28" s="1"/>
  <c r="U42" i="19"/>
  <c r="X42" i="19"/>
  <c r="U47" i="19"/>
  <c r="X57" i="19"/>
  <c r="Z40" i="19"/>
  <c r="Z57" i="19"/>
  <c r="Z29" i="19"/>
  <c r="X32" i="19"/>
  <c r="X47" i="19"/>
  <c r="Z79" i="19"/>
  <c r="M36" i="19"/>
  <c r="U36" i="19" s="1"/>
  <c r="P26" i="4"/>
  <c r="K32" i="4"/>
  <c r="K36" i="4"/>
  <c r="I36" i="4" s="1"/>
  <c r="P58" i="4"/>
  <c r="U22" i="4"/>
  <c r="U48" i="4"/>
  <c r="Y28" i="4"/>
  <c r="Y41" i="4"/>
  <c r="U58" i="4"/>
  <c r="P36" i="4"/>
  <c r="P59" i="4"/>
  <c r="U44" i="4"/>
  <c r="G32" i="13" s="1"/>
  <c r="P37" i="4"/>
  <c r="K22" i="4"/>
  <c r="P42" i="4"/>
  <c r="P64" i="4"/>
  <c r="Y59" i="4"/>
  <c r="I25" i="13" s="1"/>
  <c r="U28" i="4"/>
  <c r="U34" i="4"/>
  <c r="Y60" i="4"/>
  <c r="Y26" i="4"/>
  <c r="Y25" i="4"/>
  <c r="I28" i="13" s="1"/>
  <c r="M43" i="4"/>
  <c r="V56" i="4"/>
  <c r="M22" i="19"/>
  <c r="M41" i="19"/>
  <c r="U41" i="19" s="1"/>
  <c r="G22" i="28" s="1"/>
  <c r="M58" i="19"/>
  <c r="J26" i="7"/>
  <c r="E20" i="25" s="1"/>
  <c r="P68" i="19"/>
  <c r="L32" i="28"/>
  <c r="M27" i="19"/>
  <c r="M44" i="19"/>
  <c r="M63" i="19"/>
  <c r="U63" i="19" s="1"/>
  <c r="G23" i="28" s="1"/>
  <c r="M20" i="19"/>
  <c r="M49" i="19"/>
  <c r="M68" i="19"/>
  <c r="J41" i="18"/>
  <c r="G29" i="30" s="1"/>
  <c r="V63" i="19"/>
  <c r="P44" i="19"/>
  <c r="P37" i="19"/>
  <c r="W79" i="19"/>
  <c r="V36" i="19"/>
  <c r="V51" i="19"/>
  <c r="W56" i="19"/>
  <c r="P21" i="19"/>
  <c r="K29" i="19"/>
  <c r="P51" i="19"/>
  <c r="W34" i="4"/>
  <c r="W44" i="4"/>
  <c r="M51" i="19"/>
  <c r="W63" i="4"/>
  <c r="W29" i="4"/>
  <c r="W32" i="4"/>
  <c r="W26" i="4"/>
  <c r="W60" i="4"/>
  <c r="W27" i="4"/>
  <c r="W23" i="4"/>
  <c r="W49" i="4"/>
  <c r="W28" i="4"/>
  <c r="W57" i="4"/>
  <c r="V79" i="19"/>
  <c r="E23" i="20"/>
  <c r="G23" i="20" s="1"/>
  <c r="E21" i="20"/>
  <c r="E19" i="20"/>
  <c r="H20" i="20"/>
  <c r="I20" i="20" s="1"/>
  <c r="H22" i="20"/>
  <c r="I22" i="20" s="1"/>
  <c r="H23" i="20"/>
  <c r="I23" i="20" s="1"/>
  <c r="M79" i="19"/>
  <c r="M81" i="4"/>
  <c r="V71" i="19"/>
  <c r="W21" i="4"/>
  <c r="V27" i="4"/>
  <c r="P34" i="19"/>
  <c r="K22" i="19"/>
  <c r="P36" i="19"/>
  <c r="V56" i="19"/>
  <c r="W63" i="19"/>
  <c r="V37" i="19"/>
  <c r="W36" i="19"/>
  <c r="P20" i="19"/>
  <c r="M23" i="19"/>
  <c r="M28" i="19"/>
  <c r="M34" i="19"/>
  <c r="M37" i="19"/>
  <c r="U37" i="19" s="1"/>
  <c r="M42" i="19"/>
  <c r="M50" i="19"/>
  <c r="U50" i="19" s="1"/>
  <c r="G26" i="28" s="1"/>
  <c r="M56" i="19"/>
  <c r="U56" i="19" s="1"/>
  <c r="G24" i="28" s="1"/>
  <c r="M59" i="19"/>
  <c r="K21" i="19"/>
  <c r="P23" i="19"/>
  <c r="P26" i="19"/>
  <c r="P28" i="19"/>
  <c r="P32" i="19"/>
  <c r="K34" i="19"/>
  <c r="K37" i="19"/>
  <c r="P42" i="19"/>
  <c r="K43" i="19"/>
  <c r="P48" i="19"/>
  <c r="K50" i="19"/>
  <c r="P56" i="19"/>
  <c r="P59" i="19"/>
  <c r="P60" i="19"/>
  <c r="P67" i="19"/>
  <c r="W58" i="4"/>
  <c r="W42" i="4"/>
  <c r="W67" i="4"/>
  <c r="W20" i="4"/>
  <c r="P79" i="19"/>
  <c r="I51" i="4"/>
  <c r="W51" i="19"/>
  <c r="W71" i="19"/>
  <c r="K40" i="4"/>
  <c r="P25" i="19"/>
  <c r="K56" i="19"/>
  <c r="K41" i="19"/>
  <c r="P27" i="19"/>
  <c r="V50" i="19"/>
  <c r="W37" i="19"/>
  <c r="W48" i="19"/>
  <c r="M25" i="19"/>
  <c r="M29" i="19"/>
  <c r="M35" i="19"/>
  <c r="M40" i="19"/>
  <c r="M47" i="19"/>
  <c r="M57" i="19"/>
  <c r="M64" i="19"/>
  <c r="V40" i="4"/>
  <c r="P67" i="4"/>
  <c r="P50" i="19"/>
  <c r="P43" i="19"/>
  <c r="P63" i="19"/>
  <c r="K48" i="19"/>
  <c r="V48" i="19"/>
  <c r="W41" i="19"/>
  <c r="V41" i="19"/>
  <c r="M21" i="19"/>
  <c r="M26" i="19"/>
  <c r="I26" i="19" s="1"/>
  <c r="Q26" i="19" s="1"/>
  <c r="M32" i="19"/>
  <c r="M43" i="19"/>
  <c r="M48" i="19"/>
  <c r="U48" i="19" s="1"/>
  <c r="G25" i="28" s="1"/>
  <c r="M60" i="19"/>
  <c r="I60" i="19" s="1"/>
  <c r="Q60" i="19" s="1"/>
  <c r="P22" i="19"/>
  <c r="K25" i="19"/>
  <c r="K27" i="19"/>
  <c r="P29" i="19"/>
  <c r="P35" i="19"/>
  <c r="K36" i="19"/>
  <c r="P40" i="19"/>
  <c r="P41" i="19"/>
  <c r="K44" i="19"/>
  <c r="P47" i="19"/>
  <c r="P49" i="19"/>
  <c r="I49" i="19" s="1"/>
  <c r="Q49" i="19" s="1"/>
  <c r="R49" i="19" s="1"/>
  <c r="P57" i="19"/>
  <c r="I57" i="19" s="1"/>
  <c r="Q57" i="19" s="1"/>
  <c r="P58" i="19"/>
  <c r="I58" i="19" s="1"/>
  <c r="Q58" i="19" s="1"/>
  <c r="R58" i="19" s="1"/>
  <c r="S58" i="19" s="1"/>
  <c r="K63" i="19"/>
  <c r="P64" i="19"/>
  <c r="J37" i="19"/>
  <c r="I37" i="19" s="1"/>
  <c r="W40" i="4"/>
  <c r="M40" i="4"/>
  <c r="U40" i="4" s="1"/>
  <c r="G22" i="13" s="1"/>
  <c r="Z42" i="4"/>
  <c r="V37" i="4"/>
  <c r="Y67" i="4"/>
  <c r="Y34" i="4"/>
  <c r="Y35" i="4"/>
  <c r="U49" i="4"/>
  <c r="M29" i="4"/>
  <c r="M58" i="4"/>
  <c r="I58" i="4" s="1"/>
  <c r="Q58" i="4" s="1"/>
  <c r="R58" i="4" s="1"/>
  <c r="L33" i="28"/>
  <c r="U32" i="4"/>
  <c r="M25" i="4"/>
  <c r="M49" i="4"/>
  <c r="L31" i="28"/>
  <c r="U20" i="4"/>
  <c r="U64" i="4"/>
  <c r="U68" i="4"/>
  <c r="U23" i="4"/>
  <c r="P35" i="4"/>
  <c r="L35" i="13"/>
  <c r="L34" i="28"/>
  <c r="Y22" i="4"/>
  <c r="Y21" i="4"/>
  <c r="Y44" i="4"/>
  <c r="I32" i="13" s="1"/>
  <c r="U21" i="4"/>
  <c r="U41" i="4"/>
  <c r="U35" i="4"/>
  <c r="Y27" i="4"/>
  <c r="Y42" i="4"/>
  <c r="Y57" i="4"/>
  <c r="Y64" i="4"/>
  <c r="Y48" i="4"/>
  <c r="V71" i="4"/>
  <c r="M36" i="4"/>
  <c r="P57" i="4"/>
  <c r="J22" i="4"/>
  <c r="I22" i="4" s="1"/>
  <c r="V43" i="4"/>
  <c r="W43" i="4"/>
  <c r="U43" i="4"/>
  <c r="Y43" i="4"/>
  <c r="V36" i="4"/>
  <c r="U36" i="4"/>
  <c r="V47" i="4"/>
  <c r="P47" i="4"/>
  <c r="W47" i="4"/>
  <c r="V63" i="4"/>
  <c r="P63" i="4"/>
  <c r="Y29" i="4"/>
  <c r="I33" i="13" s="1"/>
  <c r="X43" i="4"/>
  <c r="X57" i="4"/>
  <c r="Z68" i="4"/>
  <c r="Z20" i="4"/>
  <c r="V29" i="4"/>
  <c r="U29" i="4"/>
  <c r="G33" i="13" s="1"/>
  <c r="Z48" i="4"/>
  <c r="Z41" i="4"/>
  <c r="Z59" i="4"/>
  <c r="K25" i="13" s="1"/>
  <c r="W50" i="4"/>
  <c r="V50" i="4"/>
  <c r="U59" i="4"/>
  <c r="G25" i="13" s="1"/>
  <c r="W59" i="4"/>
  <c r="J25" i="13" s="1"/>
  <c r="W37" i="4"/>
  <c r="P60" i="4"/>
  <c r="P29" i="4"/>
  <c r="P34" i="4"/>
  <c r="P50" i="4"/>
  <c r="P68" i="4"/>
  <c r="P27" i="4"/>
  <c r="W56" i="4"/>
  <c r="J24" i="13" s="1"/>
  <c r="P49" i="4"/>
  <c r="P25" i="4"/>
  <c r="P48" i="4"/>
  <c r="P28" i="4"/>
  <c r="P41" i="4"/>
  <c r="P56" i="4"/>
  <c r="K43" i="4"/>
  <c r="W71" i="4"/>
  <c r="P44" i="4"/>
  <c r="P20" i="4"/>
  <c r="P43" i="4"/>
  <c r="P23" i="4"/>
  <c r="P22" i="4"/>
  <c r="P32" i="4"/>
  <c r="J32" i="4"/>
  <c r="M21" i="4"/>
  <c r="J21" i="4"/>
  <c r="J44" i="4"/>
  <c r="J29" i="4"/>
  <c r="M63" i="4"/>
  <c r="U63" i="4" s="1"/>
  <c r="G23" i="13" s="1"/>
  <c r="M57" i="4"/>
  <c r="M48" i="4"/>
  <c r="M42" i="4"/>
  <c r="I42" i="4" s="1"/>
  <c r="Q42" i="4" s="1"/>
  <c r="R42" i="4" s="1"/>
  <c r="S42" i="4" s="1"/>
  <c r="M35" i="4"/>
  <c r="I35" i="4" s="1"/>
  <c r="Q35" i="4" s="1"/>
  <c r="M28" i="4"/>
  <c r="M23" i="4"/>
  <c r="J40" i="4"/>
  <c r="M22" i="4"/>
  <c r="J43" i="4"/>
  <c r="J27" i="4"/>
  <c r="M68" i="4"/>
  <c r="M60" i="4"/>
  <c r="M56" i="4"/>
  <c r="U56" i="4" s="1"/>
  <c r="G24" i="13" s="1"/>
  <c r="M47" i="4"/>
  <c r="U47" i="4" s="1"/>
  <c r="G26" i="13" s="1"/>
  <c r="M41" i="4"/>
  <c r="M34" i="4"/>
  <c r="M27" i="4"/>
  <c r="M20" i="4"/>
  <c r="I20" i="4" s="1"/>
  <c r="Q20" i="4" s="1"/>
  <c r="J50" i="4"/>
  <c r="J37" i="4"/>
  <c r="J25" i="4"/>
  <c r="M67" i="4"/>
  <c r="M59" i="4"/>
  <c r="M50" i="4"/>
  <c r="U50" i="4" s="1"/>
  <c r="G27" i="13" s="1"/>
  <c r="M44" i="4"/>
  <c r="M37" i="4"/>
  <c r="U37" i="4" s="1"/>
  <c r="M32" i="4"/>
  <c r="M26" i="4"/>
  <c r="J63" i="19"/>
  <c r="J50" i="19"/>
  <c r="J29" i="19"/>
  <c r="I67" i="19"/>
  <c r="Q67" i="19" s="1"/>
  <c r="J48" i="19"/>
  <c r="J27" i="19"/>
  <c r="J41" i="19"/>
  <c r="J21" i="19"/>
  <c r="I35" i="19"/>
  <c r="Q35" i="19" s="1"/>
  <c r="X67" i="4"/>
  <c r="X26" i="4"/>
  <c r="X35" i="4"/>
  <c r="X60" i="4"/>
  <c r="X44" i="4"/>
  <c r="H32" i="13" s="1"/>
  <c r="X21" i="4"/>
  <c r="X25" i="4"/>
  <c r="H28" i="13" s="1"/>
  <c r="X59" i="4"/>
  <c r="H25" i="13" s="1"/>
  <c r="X23" i="4"/>
  <c r="X64" i="4"/>
  <c r="X42" i="4"/>
  <c r="X34" i="4"/>
  <c r="X41" i="4"/>
  <c r="X27" i="4"/>
  <c r="X48" i="4"/>
  <c r="X68" i="4"/>
  <c r="X49" i="4"/>
  <c r="X20" i="4"/>
  <c r="X29" i="4"/>
  <c r="H33" i="13" s="1"/>
  <c r="X32" i="4"/>
  <c r="X22" i="4"/>
  <c r="Z58" i="4"/>
  <c r="Z28" i="4"/>
  <c r="Z37" i="4"/>
  <c r="Z57" i="4"/>
  <c r="Z25" i="4"/>
  <c r="K28" i="13" s="1"/>
  <c r="Z64" i="4"/>
  <c r="Z63" i="4"/>
  <c r="Z81" i="4"/>
  <c r="Z27" i="4"/>
  <c r="Z36" i="4"/>
  <c r="Z47" i="4"/>
  <c r="K26" i="13" s="1"/>
  <c r="Z23" i="4"/>
  <c r="Z43" i="4"/>
  <c r="Z67" i="4"/>
  <c r="Z32" i="4"/>
  <c r="Z51" i="4"/>
  <c r="Z21" i="4"/>
  <c r="Z44" i="4"/>
  <c r="K32" i="13" s="1"/>
  <c r="Z35" i="4"/>
  <c r="Z26" i="4"/>
  <c r="Z29" i="4"/>
  <c r="K33" i="13" s="1"/>
  <c r="Z49" i="4"/>
  <c r="Z22" i="4"/>
  <c r="Z50" i="4"/>
  <c r="K27" i="13" s="1"/>
  <c r="Z34" i="4"/>
  <c r="Z40" i="4"/>
  <c r="K22" i="13" s="1"/>
  <c r="W25" i="4"/>
  <c r="V25" i="4"/>
  <c r="U25" i="4"/>
  <c r="G28" i="13" s="1"/>
  <c r="Y32" i="4"/>
  <c r="X58" i="4"/>
  <c r="Z56" i="4"/>
  <c r="K24" i="13" s="1"/>
  <c r="V32" i="4"/>
  <c r="W36" i="4"/>
  <c r="M64" i="4"/>
  <c r="K56" i="4"/>
  <c r="L34" i="13"/>
  <c r="S58" i="4"/>
  <c r="W81" i="4"/>
  <c r="P81" i="4"/>
  <c r="P51" i="4"/>
  <c r="W51" i="4"/>
  <c r="V81" i="4"/>
  <c r="V51" i="4"/>
  <c r="J40" i="38" s="1"/>
  <c r="K29" i="4"/>
  <c r="K47" i="4"/>
  <c r="I47" i="4" s="1"/>
  <c r="J59" i="4"/>
  <c r="K21" i="4"/>
  <c r="J22" i="19"/>
  <c r="J34" i="19"/>
  <c r="J43" i="19"/>
  <c r="J56" i="19"/>
  <c r="I56" i="19" s="1"/>
  <c r="K27" i="4"/>
  <c r="K50" i="4"/>
  <c r="J56" i="4"/>
  <c r="J63" i="4"/>
  <c r="J25" i="19"/>
  <c r="J36" i="19"/>
  <c r="I36" i="19" s="1"/>
  <c r="Q36" i="19" s="1"/>
  <c r="J44" i="19"/>
  <c r="K25" i="4"/>
  <c r="K37" i="4"/>
  <c r="K44" i="4"/>
  <c r="K59" i="4"/>
  <c r="K63" i="4"/>
  <c r="E22" i="25" l="1"/>
  <c r="G26" i="20"/>
  <c r="G19" i="20"/>
  <c r="I26" i="20"/>
  <c r="I51" i="39"/>
  <c r="I81" i="39"/>
  <c r="I81" i="42"/>
  <c r="I51" i="42"/>
  <c r="I27" i="20"/>
  <c r="G20" i="20"/>
  <c r="G27" i="20"/>
  <c r="G16" i="43"/>
  <c r="E33" i="25"/>
  <c r="G29" i="43"/>
  <c r="R20" i="4"/>
  <c r="S20" i="4" s="1"/>
  <c r="G21" i="20"/>
  <c r="I25" i="20"/>
  <c r="K29" i="13"/>
  <c r="K40" i="38"/>
  <c r="I81" i="4"/>
  <c r="Q81" i="4" s="1"/>
  <c r="R81" i="4" s="1"/>
  <c r="S81" i="4" s="1"/>
  <c r="M51" i="39"/>
  <c r="U51" i="39" s="1"/>
  <c r="G29" i="37" s="1"/>
  <c r="G40" i="37" s="1"/>
  <c r="M81" i="39"/>
  <c r="M81" i="42"/>
  <c r="M51" i="42"/>
  <c r="U51" i="42" s="1"/>
  <c r="G29" i="38" s="1"/>
  <c r="L32" i="13"/>
  <c r="J33" i="13"/>
  <c r="L33" i="13" s="1"/>
  <c r="Q36" i="4"/>
  <c r="R36" i="4" s="1"/>
  <c r="X36" i="4" s="1"/>
  <c r="I34" i="4"/>
  <c r="Q34" i="4" s="1"/>
  <c r="R34" i="4" s="1"/>
  <c r="I64" i="4"/>
  <c r="Q64" i="4" s="1"/>
  <c r="R64" i="4" s="1"/>
  <c r="S64" i="4" s="1"/>
  <c r="I21" i="4"/>
  <c r="Q21" i="4" s="1"/>
  <c r="R21" i="4" s="1"/>
  <c r="S21" i="4" s="1"/>
  <c r="I26" i="4"/>
  <c r="Q26" i="4" s="1"/>
  <c r="R26" i="4" s="1"/>
  <c r="I32" i="4"/>
  <c r="I21" i="19"/>
  <c r="Q21" i="19" s="1"/>
  <c r="I27" i="19"/>
  <c r="Q27" i="19" s="1"/>
  <c r="R27" i="19" s="1"/>
  <c r="S27" i="19" s="1"/>
  <c r="I59" i="19"/>
  <c r="Q59" i="19" s="1"/>
  <c r="R59" i="19" s="1"/>
  <c r="I20" i="19"/>
  <c r="Q20" i="19" s="1"/>
  <c r="R20" i="19" s="1"/>
  <c r="S20" i="19" s="1"/>
  <c r="K39" i="28"/>
  <c r="I34" i="19"/>
  <c r="Q34" i="19" s="1"/>
  <c r="R34" i="19" s="1"/>
  <c r="S34" i="19" s="1"/>
  <c r="I48" i="19"/>
  <c r="Q48" i="19" s="1"/>
  <c r="R48" i="19" s="1"/>
  <c r="X48" i="19" s="1"/>
  <c r="H25" i="28" s="1"/>
  <c r="I32" i="19"/>
  <c r="Q32" i="19" s="1"/>
  <c r="R32" i="19" s="1"/>
  <c r="S32" i="19" s="1"/>
  <c r="L27" i="28"/>
  <c r="I25" i="19"/>
  <c r="I63" i="19"/>
  <c r="Q63" i="19" s="1"/>
  <c r="R63" i="19" s="1"/>
  <c r="X63" i="19" s="1"/>
  <c r="H23" i="28" s="1"/>
  <c r="J25" i="28"/>
  <c r="J26" i="28"/>
  <c r="I42" i="19"/>
  <c r="Q42" i="19" s="1"/>
  <c r="R42" i="19" s="1"/>
  <c r="I23" i="19"/>
  <c r="Q23" i="19" s="1"/>
  <c r="R23" i="19" s="1"/>
  <c r="S23" i="19" s="1"/>
  <c r="J28" i="28"/>
  <c r="Z74" i="19"/>
  <c r="J25" i="18" s="1"/>
  <c r="Z75" i="19" s="1"/>
  <c r="I68" i="19"/>
  <c r="Q68" i="19" s="1"/>
  <c r="R68" i="19" s="1"/>
  <c r="S68" i="19" s="1"/>
  <c r="J22" i="13"/>
  <c r="I57" i="4"/>
  <c r="Q57" i="4" s="1"/>
  <c r="J37" i="13"/>
  <c r="L37" i="13" s="1"/>
  <c r="I25" i="4"/>
  <c r="Q25" i="4" s="1"/>
  <c r="R25" i="4" s="1"/>
  <c r="S25" i="4" s="1"/>
  <c r="I41" i="19"/>
  <c r="Q41" i="19" s="1"/>
  <c r="R41" i="19" s="1"/>
  <c r="X41" i="19" s="1"/>
  <c r="H22" i="28" s="1"/>
  <c r="I29" i="19"/>
  <c r="Q29" i="19" s="1"/>
  <c r="R29" i="19" s="1"/>
  <c r="I40" i="4"/>
  <c r="Q40" i="4" s="1"/>
  <c r="R40" i="4" s="1"/>
  <c r="X40" i="4" s="1"/>
  <c r="H22" i="13" s="1"/>
  <c r="I44" i="19"/>
  <c r="Q44" i="19" s="1"/>
  <c r="R44" i="19" s="1"/>
  <c r="S44" i="19" s="1"/>
  <c r="I43" i="19"/>
  <c r="Q43" i="19" s="1"/>
  <c r="R43" i="19" s="1"/>
  <c r="S43" i="19" s="1"/>
  <c r="I50" i="19"/>
  <c r="Q50" i="19" s="1"/>
  <c r="R50" i="19" s="1"/>
  <c r="X50" i="19" s="1"/>
  <c r="H26" i="28" s="1"/>
  <c r="I67" i="4"/>
  <c r="Q67" i="4" s="1"/>
  <c r="R67" i="4" s="1"/>
  <c r="I23" i="4"/>
  <c r="Q23" i="4" s="1"/>
  <c r="R23" i="4" s="1"/>
  <c r="Q37" i="19"/>
  <c r="R37" i="19" s="1"/>
  <c r="X37" i="19" s="1"/>
  <c r="I64" i="19"/>
  <c r="Q64" i="19" s="1"/>
  <c r="R64" i="19" s="1"/>
  <c r="I47" i="19"/>
  <c r="Q47" i="19" s="1"/>
  <c r="R47" i="19" s="1"/>
  <c r="I28" i="19"/>
  <c r="Q28" i="19" s="1"/>
  <c r="R28" i="19" s="1"/>
  <c r="S28" i="19" s="1"/>
  <c r="V74" i="19"/>
  <c r="J24" i="18" s="1"/>
  <c r="J36" i="28"/>
  <c r="L36" i="28" s="1"/>
  <c r="J23" i="13"/>
  <c r="I50" i="4"/>
  <c r="Q50" i="4" s="1"/>
  <c r="R50" i="4" s="1"/>
  <c r="X50" i="4" s="1"/>
  <c r="H27" i="13" s="1"/>
  <c r="I51" i="19"/>
  <c r="Q51" i="19" s="1"/>
  <c r="I79" i="19"/>
  <c r="Q25" i="19"/>
  <c r="R25" i="19" s="1"/>
  <c r="S25" i="19" s="1"/>
  <c r="I27" i="4"/>
  <c r="Q27" i="4" s="1"/>
  <c r="R27" i="4" s="1"/>
  <c r="S27" i="4" s="1"/>
  <c r="I22" i="19"/>
  <c r="Q22" i="19" s="1"/>
  <c r="R22" i="19" s="1"/>
  <c r="S22" i="19" s="1"/>
  <c r="I29" i="4"/>
  <c r="Q29" i="4" s="1"/>
  <c r="R29" i="4" s="1"/>
  <c r="S29" i="4" s="1"/>
  <c r="Q51" i="4"/>
  <c r="R51" i="4" s="1"/>
  <c r="S51" i="4" s="1"/>
  <c r="S49" i="19"/>
  <c r="I28" i="4"/>
  <c r="Q28" i="4" s="1"/>
  <c r="I41" i="4"/>
  <c r="Q41" i="4" s="1"/>
  <c r="R41" i="4" s="1"/>
  <c r="U51" i="4"/>
  <c r="I40" i="19"/>
  <c r="Q40" i="19" s="1"/>
  <c r="J24" i="28"/>
  <c r="U51" i="19"/>
  <c r="U74" i="19" s="1"/>
  <c r="J21" i="18" s="1"/>
  <c r="U79" i="19"/>
  <c r="J23" i="28"/>
  <c r="I48" i="4"/>
  <c r="Q48" i="4" s="1"/>
  <c r="R48" i="4" s="1"/>
  <c r="Q56" i="19"/>
  <c r="R56" i="19" s="1"/>
  <c r="X56" i="19" s="1"/>
  <c r="H24" i="28" s="1"/>
  <c r="Q22" i="4"/>
  <c r="R22" i="4" s="1"/>
  <c r="S22" i="4" s="1"/>
  <c r="J22" i="28"/>
  <c r="W74" i="19"/>
  <c r="J23" i="18" s="1"/>
  <c r="J28" i="13"/>
  <c r="L28" i="13" s="1"/>
  <c r="I49" i="4"/>
  <c r="Q49" i="4" s="1"/>
  <c r="R49" i="4" s="1"/>
  <c r="S49" i="4" s="1"/>
  <c r="I60" i="4"/>
  <c r="Q60" i="4" s="1"/>
  <c r="R60" i="4" s="1"/>
  <c r="J26" i="13"/>
  <c r="I44" i="4"/>
  <c r="Q44" i="4" s="1"/>
  <c r="R44" i="4" s="1"/>
  <c r="S44" i="4" s="1"/>
  <c r="Q47" i="4"/>
  <c r="R47" i="4" s="1"/>
  <c r="X47" i="4" s="1"/>
  <c r="H26" i="13" s="1"/>
  <c r="S42" i="19"/>
  <c r="I68" i="4"/>
  <c r="Q68" i="4" s="1"/>
  <c r="R35" i="4"/>
  <c r="S35" i="4" s="1"/>
  <c r="I37" i="4"/>
  <c r="Q37" i="4" s="1"/>
  <c r="R37" i="4" s="1"/>
  <c r="X37" i="4" s="1"/>
  <c r="S34" i="4"/>
  <c r="Z74" i="4"/>
  <c r="K23" i="13"/>
  <c r="R60" i="19"/>
  <c r="S60" i="19" s="1"/>
  <c r="R26" i="19"/>
  <c r="S26" i="19" s="1"/>
  <c r="R35" i="19"/>
  <c r="S35" i="19" s="1"/>
  <c r="R57" i="19"/>
  <c r="S57" i="19" s="1"/>
  <c r="W74" i="4"/>
  <c r="Q32" i="4"/>
  <c r="I43" i="4"/>
  <c r="Q43" i="4" s="1"/>
  <c r="L25" i="13"/>
  <c r="S26" i="4"/>
  <c r="I56" i="4"/>
  <c r="Q56" i="4" s="1"/>
  <c r="R67" i="19"/>
  <c r="S67" i="19" s="1"/>
  <c r="J27" i="13"/>
  <c r="J29" i="13"/>
  <c r="I63" i="4"/>
  <c r="Q63" i="4" s="1"/>
  <c r="I59" i="4"/>
  <c r="Q59" i="4" s="1"/>
  <c r="R36" i="19"/>
  <c r="X36" i="19" s="1"/>
  <c r="V74" i="4"/>
  <c r="R56" i="4" l="1"/>
  <c r="X56" i="4" s="1"/>
  <c r="H24" i="13" s="1"/>
  <c r="S56" i="4"/>
  <c r="S60" i="4"/>
  <c r="K40" i="13"/>
  <c r="J23" i="7"/>
  <c r="U81" i="42"/>
  <c r="U81" i="39"/>
  <c r="U74" i="39"/>
  <c r="G29" i="13"/>
  <c r="G40" i="13" s="1"/>
  <c r="Q51" i="42"/>
  <c r="R51" i="42" s="1"/>
  <c r="X51" i="42" s="1"/>
  <c r="H29" i="38" s="1"/>
  <c r="Q81" i="42"/>
  <c r="R81" i="42" s="1"/>
  <c r="S81" i="42" s="1"/>
  <c r="Q51" i="39"/>
  <c r="Q81" i="39"/>
  <c r="R81" i="39" s="1"/>
  <c r="S81" i="39" s="1"/>
  <c r="J25" i="7"/>
  <c r="R21" i="19"/>
  <c r="S21" i="19" s="1"/>
  <c r="J40" i="13"/>
  <c r="S41" i="19"/>
  <c r="Y41" i="19" s="1"/>
  <c r="I22" i="28" s="1"/>
  <c r="L22" i="28" s="1"/>
  <c r="S59" i="19"/>
  <c r="J39" i="28"/>
  <c r="S50" i="19"/>
  <c r="Y50" i="19" s="1"/>
  <c r="I26" i="28" s="1"/>
  <c r="L26" i="28" s="1"/>
  <c r="S29" i="19"/>
  <c r="S37" i="19"/>
  <c r="Y37" i="19" s="1"/>
  <c r="S67" i="4"/>
  <c r="S47" i="19"/>
  <c r="S41" i="4"/>
  <c r="S48" i="4"/>
  <c r="R57" i="4"/>
  <c r="S57" i="4" s="1"/>
  <c r="S23" i="4"/>
  <c r="S64" i="19"/>
  <c r="G15" i="30"/>
  <c r="S48" i="19"/>
  <c r="Y48" i="19" s="1"/>
  <c r="I25" i="28" s="1"/>
  <c r="L25" i="28" s="1"/>
  <c r="U74" i="4"/>
  <c r="G28" i="28"/>
  <c r="G39" i="28" s="1"/>
  <c r="R51" i="19"/>
  <c r="S51" i="19" s="1"/>
  <c r="S40" i="4"/>
  <c r="Y40" i="4" s="1"/>
  <c r="I22" i="13" s="1"/>
  <c r="L22" i="13" s="1"/>
  <c r="R40" i="19"/>
  <c r="S40" i="19" s="1"/>
  <c r="R28" i="4"/>
  <c r="S28" i="4" s="1"/>
  <c r="R68" i="4"/>
  <c r="S68" i="4" s="1"/>
  <c r="S36" i="19"/>
  <c r="Y36" i="19" s="1"/>
  <c r="R32" i="4"/>
  <c r="S32" i="4" s="1"/>
  <c r="S36" i="4"/>
  <c r="Y36" i="4" s="1"/>
  <c r="S50" i="4"/>
  <c r="Y50" i="4" s="1"/>
  <c r="I27" i="13" s="1"/>
  <c r="L27" i="13" s="1"/>
  <c r="S63" i="19"/>
  <c r="Y63" i="19" s="1"/>
  <c r="I23" i="28" s="1"/>
  <c r="L23" i="28" s="1"/>
  <c r="R43" i="4"/>
  <c r="S43" i="4" s="1"/>
  <c r="J24" i="7"/>
  <c r="E19" i="25" s="1"/>
  <c r="Y56" i="4"/>
  <c r="I24" i="13" s="1"/>
  <c r="L24" i="13" s="1"/>
  <c r="R63" i="4"/>
  <c r="X63" i="4" s="1"/>
  <c r="H23" i="13" s="1"/>
  <c r="R59" i="4"/>
  <c r="S59" i="4" s="1"/>
  <c r="Y81" i="4"/>
  <c r="Y51" i="4"/>
  <c r="X81" i="4"/>
  <c r="X51" i="4"/>
  <c r="S37" i="4"/>
  <c r="Y37" i="4" s="1"/>
  <c r="S47" i="4"/>
  <c r="Y47" i="4" s="1"/>
  <c r="I26" i="13" s="1"/>
  <c r="L26" i="13" s="1"/>
  <c r="S56" i="19"/>
  <c r="Y56" i="19" s="1"/>
  <c r="I24" i="28" s="1"/>
  <c r="H40" i="38" l="1"/>
  <c r="G15" i="43"/>
  <c r="J21" i="35"/>
  <c r="S51" i="42"/>
  <c r="Y51" i="42" s="1"/>
  <c r="I29" i="38" s="1"/>
  <c r="I40" i="38" s="1"/>
  <c r="X81" i="42"/>
  <c r="X74" i="42"/>
  <c r="G40" i="38"/>
  <c r="R51" i="39"/>
  <c r="X51" i="39" s="1"/>
  <c r="H29" i="37" s="1"/>
  <c r="J21" i="7"/>
  <c r="U74" i="42"/>
  <c r="I29" i="13"/>
  <c r="Z75" i="4"/>
  <c r="Y51" i="19"/>
  <c r="I28" i="28" s="1"/>
  <c r="I39" i="28" s="1"/>
  <c r="Y79" i="19"/>
  <c r="X79" i="19"/>
  <c r="X51" i="19"/>
  <c r="S63" i="4"/>
  <c r="Y63" i="4" s="1"/>
  <c r="I23" i="13" s="1"/>
  <c r="L23" i="13" s="1"/>
  <c r="AA81" i="4"/>
  <c r="H29" i="13"/>
  <c r="AA51" i="4"/>
  <c r="AA52" i="4" s="1"/>
  <c r="L24" i="28"/>
  <c r="X74" i="4"/>
  <c r="H40" i="37" l="1"/>
  <c r="J21" i="36"/>
  <c r="J22" i="36"/>
  <c r="L29" i="38"/>
  <c r="L40" i="38" s="1"/>
  <c r="X81" i="39"/>
  <c r="X74" i="39"/>
  <c r="S51" i="39"/>
  <c r="Y51" i="39" s="1"/>
  <c r="I29" i="37" s="1"/>
  <c r="I40" i="37" s="1"/>
  <c r="G27" i="7"/>
  <c r="J22" i="7"/>
  <c r="G14" i="43" s="1"/>
  <c r="Y81" i="42"/>
  <c r="AA81" i="42" s="1"/>
  <c r="G27" i="36" s="1"/>
  <c r="I40" i="13"/>
  <c r="L29" i="13"/>
  <c r="L40" i="13" s="1"/>
  <c r="H40" i="13"/>
  <c r="Y74" i="19"/>
  <c r="AA79" i="19"/>
  <c r="G27" i="18" s="1"/>
  <c r="H28" i="28"/>
  <c r="H39" i="28" s="1"/>
  <c r="AA51" i="19"/>
  <c r="X74" i="19"/>
  <c r="J22" i="18" s="1"/>
  <c r="Y74" i="4"/>
  <c r="I18" i="25" l="1"/>
  <c r="L29" i="37"/>
  <c r="L40" i="37" s="1"/>
  <c r="E35" i="36"/>
  <c r="J35" i="36" s="1"/>
  <c r="J22" i="35"/>
  <c r="G18" i="25" s="1"/>
  <c r="J42" i="7"/>
  <c r="Y81" i="39"/>
  <c r="AA81" i="39" s="1"/>
  <c r="G27" i="35" s="1"/>
  <c r="Y74" i="42"/>
  <c r="AA51" i="42"/>
  <c r="AA52" i="42" s="1"/>
  <c r="J42" i="18"/>
  <c r="G30" i="30" s="1"/>
  <c r="Z76" i="19"/>
  <c r="X75" i="19" s="1"/>
  <c r="Z76" i="4"/>
  <c r="W75" i="4" s="1"/>
  <c r="E35" i="18"/>
  <c r="J35" i="18" s="1"/>
  <c r="G23" i="30" s="1"/>
  <c r="G14" i="30"/>
  <c r="L28" i="28"/>
  <c r="L39" i="28" s="1"/>
  <c r="E35" i="7"/>
  <c r="J35" i="7" s="1"/>
  <c r="E18" i="25"/>
  <c r="J36" i="36" l="1"/>
  <c r="E47" i="36" s="1"/>
  <c r="I38" i="25" s="1"/>
  <c r="I27" i="25"/>
  <c r="I28" i="25" s="1"/>
  <c r="I30" i="25" s="1"/>
  <c r="J42" i="36"/>
  <c r="E35" i="35"/>
  <c r="J35" i="35" s="1"/>
  <c r="E27" i="25"/>
  <c r="E28" i="25" s="1"/>
  <c r="E30" i="25" s="1"/>
  <c r="G23" i="43"/>
  <c r="G24" i="43" s="1"/>
  <c r="G26" i="43" s="1"/>
  <c r="E34" i="25"/>
  <c r="G30" i="43"/>
  <c r="AA51" i="39"/>
  <c r="AA52" i="39" s="1"/>
  <c r="Y74" i="39"/>
  <c r="J42" i="35" s="1"/>
  <c r="G34" i="25" s="1"/>
  <c r="Z76" i="42"/>
  <c r="Y75" i="4"/>
  <c r="X75" i="4"/>
  <c r="U75" i="19"/>
  <c r="V75" i="19"/>
  <c r="Y75" i="19"/>
  <c r="W75" i="19"/>
  <c r="V75" i="4"/>
  <c r="U75" i="4"/>
  <c r="J36" i="18"/>
  <c r="G24" i="30"/>
  <c r="G26" i="30" s="1"/>
  <c r="G32" i="30" s="1"/>
  <c r="J36" i="7"/>
  <c r="E36" i="25" l="1"/>
  <c r="J38" i="36"/>
  <c r="J45" i="36" s="1"/>
  <c r="E48" i="36"/>
  <c r="I39" i="25" s="1"/>
  <c r="E49" i="36"/>
  <c r="I40" i="25" s="1"/>
  <c r="I34" i="25"/>
  <c r="I36" i="25" s="1"/>
  <c r="J36" i="35"/>
  <c r="E49" i="35" s="1"/>
  <c r="G40" i="25" s="1"/>
  <c r="G27" i="25"/>
  <c r="G28" i="25" s="1"/>
  <c r="G30" i="25" s="1"/>
  <c r="G36" i="25" s="1"/>
  <c r="X75" i="42"/>
  <c r="V75" i="42"/>
  <c r="Y75" i="42"/>
  <c r="W75" i="42"/>
  <c r="U75" i="42"/>
  <c r="G32" i="43"/>
  <c r="Z76" i="39"/>
  <c r="Z77" i="4"/>
  <c r="Z77" i="19"/>
  <c r="E48" i="18"/>
  <c r="G35" i="30" s="1"/>
  <c r="E47" i="18"/>
  <c r="G34" i="30" s="1"/>
  <c r="E49" i="18"/>
  <c r="G36" i="30" s="1"/>
  <c r="J38" i="18"/>
  <c r="J45" i="18" s="1"/>
  <c r="E49" i="7"/>
  <c r="E48" i="7"/>
  <c r="J38" i="7"/>
  <c r="J45" i="7" s="1"/>
  <c r="E47" i="7"/>
  <c r="E38" i="25" s="1"/>
  <c r="J38" i="35" l="1"/>
  <c r="J45" i="35" s="1"/>
  <c r="E48" i="35"/>
  <c r="G39" i="25" s="1"/>
  <c r="E47" i="35"/>
  <c r="G38" i="25" s="1"/>
  <c r="G34" i="43"/>
  <c r="E40" i="25"/>
  <c r="G36" i="43"/>
  <c r="E39" i="25"/>
  <c r="G35" i="43"/>
  <c r="W75" i="39"/>
  <c r="V75" i="39"/>
  <c r="U75" i="39"/>
  <c r="X75" i="39"/>
  <c r="Y75" i="39"/>
  <c r="Z77" i="42"/>
  <c r="Z77" i="39" l="1"/>
</calcChain>
</file>

<file path=xl/comments1.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3.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4.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<sst xmlns="http://schemas.openxmlformats.org/spreadsheetml/2006/main" count="1781" uniqueCount="469">
  <si>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</si>
  <si>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</si>
  <si>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</si>
  <si>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</si>
  <si>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</si>
  <si>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</si>
  <si>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</si>
  <si>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</si>
  <si>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</si>
  <si>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</si>
  <si>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</si>
  <si>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</si>
  <si>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</si>
  <si>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</si>
  <si>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</si>
  <si>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</si>
  <si>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</si>
  <si>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</si>
  <si>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</si>
  <si>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</si>
  <si>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</si>
  <si>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</si>
  <si>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</si>
  <si>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Soybeans</t>
  </si>
  <si>
    <t>Soybeans - 15" rows</t>
  </si>
  <si>
    <t>Soybeans - 30" rows</t>
  </si>
  <si>
    <t xml:space="preserve">Small Grains Drilled </t>
  </si>
  <si>
    <t>Planting (No-Till):</t>
  </si>
  <si>
    <t>Corn Planting (gen'l) - No-Till</t>
  </si>
  <si>
    <t>Grain Harvest:</t>
  </si>
  <si>
    <t>Combine Corn (per acre)</t>
  </si>
  <si>
    <t>Combine Soybeans</t>
  </si>
  <si>
    <t>Combine Small Grains</t>
  </si>
  <si>
    <t>Complete Planting and Harvest:</t>
  </si>
  <si>
    <t>Corn</t>
  </si>
  <si>
    <t>Fertilizer Application:</t>
  </si>
  <si>
    <t>Dry - Bulk (acre)</t>
  </si>
  <si>
    <t>Dry Fertilizer + Seed Broadcast</t>
  </si>
  <si>
    <t>Liquid Spray (acre)</t>
  </si>
  <si>
    <t>Anhydrous (acre)</t>
  </si>
  <si>
    <t>Lime- Lime, Deliver and Spread (ton)</t>
  </si>
  <si>
    <t>Chemical Control:</t>
  </si>
  <si>
    <t>Spraying (self-propelled)</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</si>
  <si>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</si>
  <si>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</si>
  <si>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</si>
  <si>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</si>
  <si>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</si>
  <si>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</si>
  <si>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</si>
  <si>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</si>
  <si>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</si>
  <si>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</si>
  <si>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</si>
  <si>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</si>
  <si>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</si>
  <si>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</si>
  <si>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</si>
  <si>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</si>
  <si>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</si>
  <si>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</si>
  <si>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</si>
  <si>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</si>
  <si>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</si>
  <si>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</si>
  <si>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</si>
  <si>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</si>
  <si>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</si>
  <si>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</si>
  <si>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</si>
  <si>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</si>
  <si>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</si>
  <si>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</si>
  <si>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</si>
  <si>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</si>
  <si>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</si>
  <si>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</si>
  <si>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</si>
  <si>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</si>
  <si>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</si>
  <si>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</si>
  <si>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</si>
  <si>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</si>
  <si>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</si>
  <si>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</si>
  <si>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</si>
  <si>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</si>
  <si>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</si>
  <si>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</si>
  <si>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</si>
  <si>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</si>
  <si>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</si>
  <si>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</si>
  <si>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</si>
  <si>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</si>
  <si>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</si>
  <si>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</si>
  <si>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</si>
  <si>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</si>
  <si>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</si>
  <si>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</si>
  <si>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</si>
  <si>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</si>
  <si>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</si>
  <si>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</si>
  <si>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</si>
  <si>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</si>
  <si>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</si>
  <si>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</si>
  <si>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</si>
  <si>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</si>
  <si>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</si>
  <si>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</si>
  <si>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</si>
  <si>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</si>
  <si>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</si>
  <si>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</si>
  <si>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</si>
  <si>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</si>
  <si>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</si>
  <si>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</si>
  <si>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</si>
  <si>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</si>
  <si>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</si>
  <si>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</si>
  <si>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</si>
  <si>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</si>
  <si>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</si>
  <si>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</si>
  <si>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</si>
  <si>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</si>
  <si>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</si>
  <si>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</si>
  <si>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</si>
  <si>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</si>
  <si>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</si>
  <si>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Be sure to review the "Instructions" page for important information about these budgets.</t>
  </si>
  <si>
    <t>Quant.</t>
  </si>
  <si>
    <t>per bu to cover variable costs</t>
  </si>
  <si>
    <t>per bu to cover all specified costs</t>
  </si>
  <si>
    <t>Ability to enter actual fertilzer and price in tons.</t>
  </si>
  <si>
    <t>Anhydrous Application</t>
  </si>
  <si>
    <t>Planting</t>
  </si>
  <si>
    <t>Extra Number of Labor Hours per Acre</t>
  </si>
  <si>
    <t>Footnotes:</t>
  </si>
  <si>
    <r>
      <t>Nitrogen</t>
    </r>
    <r>
      <rPr>
        <vertAlign val="superscript"/>
        <sz val="10"/>
        <rFont val="Arial"/>
        <family val="2"/>
      </rPr>
      <t>1</t>
    </r>
  </si>
  <si>
    <r>
      <t>1</t>
    </r>
    <r>
      <rPr>
        <sz val="10"/>
        <rFont val="Arial"/>
        <family val="2"/>
      </rPr>
      <t xml:space="preserve"> Assumes anhydrous ammonia (NH</t>
    </r>
    <r>
      <rPr>
        <vertAlign val="subscript"/>
        <sz val="10"/>
        <rFont val="Arial"/>
        <family val="2"/>
      </rPr>
      <t>3</t>
    </r>
    <r>
      <rPr>
        <sz val="10"/>
        <rFont val="Arial"/>
        <family val="2"/>
      </rPr>
      <t>).  Adjust as needed for other forms of nitrogen.</t>
    </r>
  </si>
  <si>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</si>
  <si>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</si>
  <si>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</si>
  <si>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</si>
  <si>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Insecticides (Planting and Foliar)</t>
    </r>
    <r>
      <rPr>
        <vertAlign val="superscript"/>
        <sz val="10"/>
        <rFont val="Arial"/>
        <family val="2"/>
      </rPr>
      <t>2</t>
    </r>
  </si>
  <si>
    <r>
      <t>Fungicides (Foliar)</t>
    </r>
    <r>
      <rPr>
        <vertAlign val="superscript"/>
        <sz val="10"/>
        <rFont val="Arial"/>
        <family val="2"/>
      </rPr>
      <t>2</t>
    </r>
  </si>
  <si>
    <r>
      <t>2</t>
    </r>
    <r>
      <rPr>
        <sz val="10"/>
        <rFont val="Arial"/>
        <family val="2"/>
      </rPr>
      <t xml:space="preserve"> Scout to detect any insect or disease problems and control as required.</t>
    </r>
  </si>
  <si>
    <r>
      <t>4</t>
    </r>
    <r>
      <rPr>
        <sz val="10"/>
        <rFont val="Arial"/>
        <family val="2"/>
      </rPr>
      <t xml:space="preserve"> Cash rent varies substantially by productivity level and region in Kentucky.</t>
    </r>
  </si>
  <si>
    <r>
      <t>Crop Insurance</t>
    </r>
    <r>
      <rPr>
        <vertAlign val="superscript"/>
        <sz val="10"/>
        <rFont val="Arial"/>
        <family val="2"/>
      </rPr>
      <t>3</t>
    </r>
  </si>
  <si>
    <r>
      <t>2</t>
    </r>
    <r>
      <rPr>
        <sz val="10"/>
        <rFont val="Arial"/>
        <family val="2"/>
      </rPr>
      <t xml:space="preserve"> Crop insurance varies substantially by policy type and coverage level.</t>
    </r>
  </si>
  <si>
    <r>
      <t>3</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</si>
  <si>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</si>
  <si>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</si>
  <si>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</si>
  <si>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</si>
  <si>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</si>
  <si>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</si>
  <si>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</si>
  <si>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</si>
  <si>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t>units</t>
  </si>
  <si>
    <t>Gov't Program Payment</t>
  </si>
  <si>
    <t>Crop Insurance Payment</t>
  </si>
  <si>
    <t>Associate Extension Professor</t>
  </si>
  <si>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</si>
  <si>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</si>
  <si>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</si>
  <si>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</si>
  <si>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</si>
  <si>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</si>
  <si>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</si>
  <si>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</si>
  <si>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</si>
  <si>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</si>
  <si>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</si>
  <si>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</si>
  <si>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</si>
  <si>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</si>
  <si>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</si>
  <si>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</si>
  <si>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</si>
  <si>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</si>
  <si>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</si>
  <si>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</si>
  <si>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</si>
  <si>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Final Rate ($) (Entire Load)</t>
  </si>
  <si>
    <t>Fuel Cost (Current)</t>
  </si>
  <si>
    <t>Base Fuel Cost (from custom survey)</t>
  </si>
  <si>
    <t>May want to change this in the future…</t>
  </si>
  <si>
    <t>N-P-K %</t>
  </si>
  <si>
    <t>N Fertilizers</t>
  </si>
  <si>
    <t>UREA</t>
  </si>
  <si>
    <t>46-0-0</t>
  </si>
  <si>
    <t>ANHYDROUS</t>
  </si>
  <si>
    <t>82-0-0</t>
  </si>
  <si>
    <t>UAN32</t>
  </si>
  <si>
    <t>32-0-0</t>
  </si>
  <si>
    <t>UAN28</t>
  </si>
  <si>
    <t>28-0-0</t>
  </si>
  <si>
    <t>K Fertilizers</t>
  </si>
  <si>
    <t>0-0-60</t>
  </si>
  <si>
    <t>SULFATE POTASH</t>
  </si>
  <si>
    <t>0-0-50</t>
  </si>
  <si>
    <t>P Fertilizers</t>
  </si>
  <si>
    <t>MAP</t>
  </si>
  <si>
    <t>11-52-0</t>
  </si>
  <si>
    <t>DAP</t>
  </si>
  <si>
    <t>18-46-0</t>
  </si>
  <si>
    <t>10-34-0</t>
  </si>
  <si>
    <t>NPK Fertilizers</t>
  </si>
  <si>
    <t>19-19-19</t>
  </si>
  <si>
    <t>Nitrogen</t>
  </si>
  <si>
    <t>Potassium</t>
  </si>
  <si>
    <t>Phosphorous</t>
  </si>
  <si>
    <t>POTASH</t>
  </si>
  <si>
    <t>Triple 19</t>
  </si>
  <si>
    <t>Calculate</t>
  </si>
  <si>
    <t>Enter</t>
  </si>
  <si>
    <t>Storage</t>
  </si>
  <si>
    <t>% Stored</t>
  </si>
  <si>
    <t>No-Till</t>
  </si>
  <si>
    <t>Conv. Tillage</t>
  </si>
  <si>
    <t>No Till</t>
  </si>
  <si>
    <t>Number of Trips</t>
  </si>
  <si>
    <t>Conv. Tillage Ex 1</t>
  </si>
  <si>
    <t>Conv. Tillage Ex. 2</t>
  </si>
  <si>
    <t>Trips per Acre</t>
  </si>
  <si>
    <t>Fuel</t>
  </si>
  <si>
    <t>Labor</t>
  </si>
  <si>
    <t>Machinery and Equipment Costs</t>
  </si>
  <si>
    <t>Conventional Tillage</t>
  </si>
  <si>
    <t>Additional Trucking</t>
  </si>
  <si>
    <t>Enter $/Bushel</t>
  </si>
  <si>
    <t>$/bu</t>
  </si>
  <si>
    <t>% Crop Share</t>
  </si>
  <si>
    <t xml:space="preserve">Trucking </t>
  </si>
  <si>
    <t>Enter $/bushel</t>
  </si>
  <si>
    <t>Separate Trucking</t>
  </si>
  <si>
    <t>Include Trucking in Machinery Costs</t>
  </si>
  <si>
    <t>Tillage</t>
  </si>
  <si>
    <t xml:space="preserve">Total </t>
  </si>
  <si>
    <t xml:space="preserve">Select how you would like to calculate land cost. </t>
  </si>
  <si>
    <t xml:space="preserve">Select if you would like to enter storage costs here or calculate them on a separate sheet. </t>
  </si>
  <si>
    <t>Use Calculator</t>
  </si>
  <si>
    <t># of Trips</t>
  </si>
  <si>
    <t>Land Cost</t>
  </si>
  <si>
    <t>Cash Rent</t>
  </si>
  <si>
    <t>Crop Share</t>
  </si>
  <si>
    <t>Select "Y" if you want your own labor to be a variable cost or "N" if you want it to be a fixed cost.</t>
  </si>
  <si>
    <t>Do Not Change</t>
  </si>
  <si>
    <t>Calculating Storage Costs</t>
  </si>
  <si>
    <t>Bu/acre Grain Stored (%)</t>
  </si>
  <si>
    <t>Storage Period (months)</t>
  </si>
  <si>
    <t>Enter the number of months grain is expected to be stored.</t>
  </si>
  <si>
    <t>Total Interest Cost per Acre</t>
  </si>
  <si>
    <t>Additional Shrinkage</t>
  </si>
  <si>
    <t>Additional Handling</t>
  </si>
  <si>
    <t>Total Storage Cost</t>
  </si>
  <si>
    <t xml:space="preserve">   Cost $/bu</t>
  </si>
  <si>
    <t xml:space="preserve">   Cost $/acre</t>
  </si>
  <si>
    <t>$/Ton</t>
  </si>
  <si>
    <t>$/Unit</t>
  </si>
  <si>
    <t xml:space="preserve">If you enter $/ton and lbs/acre in this chart, remember to update the units and $/unit in the main budget based on the total shown above. </t>
  </si>
  <si>
    <t>This cell is used for the equations on the main budget.</t>
  </si>
  <si>
    <t>There is no way to 100% ensure that the include/separate dropdown list will be left on separate if the user enters $/bu</t>
  </si>
  <si>
    <t xml:space="preserve">This cell basically says that if the user chooses to enter, trucking will be separate </t>
  </si>
  <si>
    <t>If the user chooses to calculate, then the cell will be whatever they choose, include or separate</t>
  </si>
  <si>
    <t>Separate Trucking from Mach. Costs</t>
  </si>
  <si>
    <t>Avg distance miles (one way)</t>
  </si>
  <si>
    <t>Plow</t>
  </si>
  <si>
    <t xml:space="preserve">Corn Planting: Conventional </t>
  </si>
  <si>
    <t>Corn Planting: No-Till</t>
  </si>
  <si>
    <t>Combine Corn</t>
  </si>
  <si>
    <t>Fertilizer App. Dry Bulk</t>
  </si>
  <si>
    <t>Spraying</t>
  </si>
  <si>
    <t>Stalk Chopping</t>
  </si>
  <si>
    <t>For this chart, you can change the default number of trips in the cells with bold blue font.</t>
  </si>
  <si>
    <t>The second set of columns for no till and conventional tillage change depending on if the user selects "enter" or "use default"</t>
  </si>
  <si>
    <t xml:space="preserve">They are linked to the number of trips above in the large machinery costs chart. </t>
  </si>
  <si>
    <t>The cells with blue font are linked to the rows directly to the right</t>
  </si>
  <si>
    <t xml:space="preserve">**** The equations in this row are different than all of the rest. If the user seperates trucking costs on the corn budget, this $0s out. </t>
  </si>
  <si>
    <t xml:space="preserve">Trucking, if separate from other machinery costs, includes fixed costs. </t>
  </si>
  <si>
    <t>-</t>
  </si>
  <si>
    <t>Additional Labor</t>
  </si>
  <si>
    <t>Other Costs</t>
  </si>
  <si>
    <t>Trucking</t>
  </si>
  <si>
    <t>Hours per Acre</t>
  </si>
  <si>
    <t>**** Remember to update the trucking row below (used for linking trucking costs to the Corn sheet) if any changes are made here.</t>
  </si>
  <si>
    <t># of Trips ENTERED</t>
  </si>
  <si>
    <t># of Trips CONV. DEFAULT</t>
  </si>
  <si>
    <t># of Trips NO-TILL DEFAULT</t>
  </si>
  <si>
    <t>This includes depreciation, interest, and repairs.</t>
  </si>
  <si>
    <t xml:space="preserve">Other </t>
  </si>
  <si>
    <t>Storage Facility Costs</t>
  </si>
  <si>
    <t>Additional Drying</t>
  </si>
  <si>
    <t xml:space="preserve">Below commercial harvest %. </t>
  </si>
  <si>
    <t>these are now just sums</t>
  </si>
  <si>
    <t>add in another line here for soybeans, keep it so that they can enter the miles in two different places</t>
  </si>
  <si>
    <t>(Soybeans) Actual Distance and Cost</t>
  </si>
  <si>
    <t>Combine</t>
  </si>
  <si>
    <t>Samantha Kindred</t>
  </si>
  <si>
    <t>Samantha.Kindred@uky.edu</t>
  </si>
  <si>
    <t>859-257-2996</t>
  </si>
  <si>
    <t>Extension Associate</t>
  </si>
  <si>
    <t>drop down list above. If the user chooses "N" for</t>
  </si>
  <si>
    <t>$/bu for trucking costs</t>
  </si>
  <si>
    <t xml:space="preserve">^the cell in yellow is the "Use Estimate" option for the </t>
  </si>
  <si>
    <t>calculating fertilizer costs then they are forced to enter</t>
  </si>
  <si>
    <t>Units/ Acre</t>
  </si>
  <si>
    <t>Lbs/ Acre</t>
  </si>
  <si>
    <t>tons</t>
  </si>
  <si>
    <t xml:space="preserve">Enter average on-farm diesel fuel price expected for machinery operations.  </t>
  </si>
  <si>
    <t>Use Estimate Based on Mileage</t>
  </si>
  <si>
    <t>Interest on Grain Inventory</t>
  </si>
  <si>
    <t>Including cleaning bins, monitoring grain, insecticides, and insurance, etc..</t>
  </si>
  <si>
    <t xml:space="preserve">Select how you would like to include trucking costs. </t>
  </si>
  <si>
    <t xml:space="preserve">   Totals</t>
  </si>
  <si>
    <t>Depr &amp; Overhead</t>
  </si>
  <si>
    <t>Adjusted Units/Acre</t>
  </si>
  <si>
    <t>tons or lbs</t>
  </si>
  <si>
    <t>P</t>
  </si>
  <si>
    <t>K</t>
  </si>
  <si>
    <t>Additional Labor Hours</t>
  </si>
  <si>
    <t>Field Cultivation or Vertical Tillage</t>
  </si>
  <si>
    <r>
      <t>Additional Labor (</t>
    </r>
    <r>
      <rPr>
        <i/>
        <sz val="10"/>
        <rFont val="Arial"/>
        <family val="2"/>
      </rPr>
      <t>can change this above</t>
    </r>
    <r>
      <rPr>
        <sz val="10"/>
        <rFont val="Arial"/>
        <family val="2"/>
      </rPr>
      <t>)</t>
    </r>
  </si>
  <si>
    <t xml:space="preserve">Select an additional machinery operation or none. </t>
  </si>
  <si>
    <r>
      <t xml:space="preserve">   </t>
    </r>
    <r>
      <rPr>
        <b/>
        <u/>
        <sz val="10"/>
        <rFont val="Arial"/>
        <family val="2"/>
      </rPr>
      <t>Totals</t>
    </r>
  </si>
  <si>
    <t xml:space="preserve">Fertilizer </t>
  </si>
  <si>
    <t>Herbicides/Insecticides/Fungicides</t>
  </si>
  <si>
    <t>Variable Machinery Costs</t>
  </si>
  <si>
    <t>Labor (Variable)</t>
  </si>
  <si>
    <t>Crop Insurance</t>
  </si>
  <si>
    <t>Labor (Fixed Only)</t>
  </si>
  <si>
    <t>Machinery Depreciation &amp; Overhead</t>
  </si>
  <si>
    <t>Bushels per acre to cover variable costs</t>
  </si>
  <si>
    <t>Per bushel to cover variable costs</t>
  </si>
  <si>
    <t>Per bushel to cover all specified costs</t>
  </si>
  <si>
    <t>Labor estimates only for actual operations listed and do not account for travel and down time or other farming operations.</t>
  </si>
  <si>
    <r>
      <t>Land Cost</t>
    </r>
    <r>
      <rPr>
        <vertAlign val="superscript"/>
        <sz val="10"/>
        <rFont val="Arial"/>
        <family val="2"/>
      </rPr>
      <t>4</t>
    </r>
  </si>
  <si>
    <r>
      <t>Land Cost</t>
    </r>
    <r>
      <rPr>
        <vertAlign val="superscript"/>
        <sz val="10"/>
        <rFont val="Arial"/>
        <family val="2"/>
      </rPr>
      <t>3</t>
    </r>
  </si>
  <si>
    <t>1)</t>
  </si>
  <si>
    <t>2)</t>
  </si>
  <si>
    <t xml:space="preserve">See calculator to the right. Fertilizer types can be changed. </t>
  </si>
  <si>
    <t>Cover Crop Seed</t>
  </si>
  <si>
    <t xml:space="preserve">Tillage Type </t>
  </si>
  <si>
    <t>3)</t>
  </si>
  <si>
    <t>4)</t>
  </si>
  <si>
    <t>Includes owned and hired labor.</t>
  </si>
  <si>
    <t>Includes fuel and lube, repairs, custom work, and machinery rental.</t>
  </si>
  <si>
    <t xml:space="preserve">Includes owned and hired labor. </t>
  </si>
  <si>
    <t xml:space="preserve">Includes N, P, K, other fertilizers, and lime. </t>
  </si>
  <si>
    <t xml:space="preserve">Includes N, P, K, other fertilizer, and lime. </t>
  </si>
  <si>
    <t>Cover Crop: Drill</t>
  </si>
  <si>
    <t>Cover Crop: Broadcast</t>
  </si>
  <si>
    <t>Additional Tillage: Chisel Plow</t>
  </si>
  <si>
    <t>Additional Tillage: Disking</t>
  </si>
  <si>
    <t>Additional Tillage: Sub-Soiling</t>
  </si>
  <si>
    <t>Additional Tillage: None</t>
  </si>
  <si>
    <t>Conv</t>
  </si>
  <si>
    <t>default for above</t>
  </si>
  <si>
    <t>Use Defaults</t>
  </si>
  <si>
    <t>Cover Crop: None</t>
  </si>
  <si>
    <t>Stalk Chopping or Maint. Mowing</t>
  </si>
  <si>
    <t>Stalk Chopping or Maint. Mowing: None</t>
  </si>
  <si>
    <r>
      <rPr>
        <b/>
        <i/>
        <sz val="10"/>
        <rFont val="Arial"/>
        <family val="2"/>
      </rPr>
      <t xml:space="preserve">* </t>
    </r>
    <r>
      <rPr>
        <i/>
        <sz val="10"/>
        <rFont val="Arial"/>
        <family val="2"/>
      </rPr>
      <t xml:space="preserve">For Nitrogen, the fertilizer type and $/ton can be changed in the Corn sheet. </t>
    </r>
  </si>
  <si>
    <r>
      <rPr>
        <sz val="10"/>
        <rFont val="Arial"/>
        <family val="2"/>
      </rPr>
      <t xml:space="preserve">    </t>
    </r>
    <r>
      <rPr>
        <u/>
        <sz val="10"/>
        <rFont val="Arial"/>
        <family val="2"/>
      </rPr>
      <t>Other Machinery Operations (please select one from each list below):</t>
    </r>
  </si>
  <si>
    <r>
      <t xml:space="preserve">   </t>
    </r>
    <r>
      <rPr>
        <u/>
        <sz val="10"/>
        <rFont val="Arial"/>
        <family val="2"/>
      </rPr>
      <t>Other Machinery Operations (please select one from each list below):</t>
    </r>
  </si>
  <si>
    <t>Broadcast</t>
  </si>
  <si>
    <t>** This cell is used for the equations on the main budget.</t>
  </si>
  <si>
    <t>** the cell in yellow is the "Use Estimate" option for the drop down list above. If the user chooses "N" for</t>
  </si>
  <si>
    <t>calculating fertilizer costs then they are forced to enter $/bu for trucking costs</t>
  </si>
  <si>
    <t xml:space="preserve">This cell says that if the user chooses to enter, trucking will be separate </t>
  </si>
  <si>
    <t>Things to remember when updating</t>
  </si>
  <si>
    <t xml:space="preserve">They are linked to multiple equations and conditional formatting. </t>
  </si>
  <si>
    <t>For brand new options this does not apply.</t>
  </si>
  <si>
    <t xml:space="preserve">To more easily see how a cell impacts others click on the Formula tab and then click Trace Dependents. </t>
  </si>
  <si>
    <t xml:space="preserve">Notes for future versions </t>
  </si>
  <si>
    <t xml:space="preserve">But when they separate it all the trucking costs go into one line under variable costs, which is impacting the operating interest. </t>
  </si>
  <si>
    <t>Ways to fix this are 1) add in a fixed trucking costs line 2) subtract the fixed trucking costs from the total for operating interest if they separate trucking from machinery costs. Preference? Other ideas?</t>
  </si>
  <si>
    <t xml:space="preserve">The difference in return above all specified costs is because when the user includes trucking in machinery costs then some of those go into fixed. </t>
  </si>
  <si>
    <t xml:space="preserve">Choose to use default number of trips or enter your own. </t>
  </si>
  <si>
    <t xml:space="preserve">Select no-till or conventional tillage. </t>
  </si>
  <si>
    <t xml:space="preserve">Select if you want to use the default number of trips or enter your own. </t>
  </si>
  <si>
    <t>Interest Rate (%)</t>
  </si>
  <si>
    <t>Trips per Acre (Enter Below or Use Defaults)</t>
  </si>
  <si>
    <t>Enter Below</t>
  </si>
  <si>
    <t>Fertilizer: Dry Broadcast or Liquid Spray</t>
  </si>
  <si>
    <t>Fertilizer: Anhydrous Application</t>
  </si>
  <si>
    <t>2020 Survey</t>
  </si>
  <si>
    <t>Pts Removed</t>
  </si>
  <si>
    <t>Select Fertilizer Type From Drop-Down Lists Below</t>
  </si>
  <si>
    <t>Fuel Inc. (was 5% originally)</t>
  </si>
  <si>
    <t>Labor Rate (from last Custom Survey)</t>
  </si>
  <si>
    <t>Labor Inc. actual operations (was 0%)</t>
  </si>
  <si>
    <t>Labor (hrs) Adj</t>
  </si>
  <si>
    <t>Fuel Adj</t>
  </si>
  <si>
    <t>Labor Adj</t>
  </si>
  <si>
    <t>Return Above  Variable Costs</t>
  </si>
  <si>
    <r>
      <t>Additional Fuel (</t>
    </r>
    <r>
      <rPr>
        <i/>
        <sz val="10"/>
        <rFont val="Arial"/>
        <family val="2"/>
      </rPr>
      <t>can change this above</t>
    </r>
    <r>
      <rPr>
        <sz val="10"/>
        <rFont val="Arial"/>
        <family val="2"/>
      </rPr>
      <t>)</t>
    </r>
  </si>
  <si>
    <t>Extra Fuel (Gallons) per Acre</t>
  </si>
  <si>
    <t>Fuel estimates only for actual operations listed and do not account for equipment travel, daily pickup use, etc.</t>
  </si>
  <si>
    <t xml:space="preserve">Additional Fuel </t>
  </si>
  <si>
    <t>Not a problem to adjust price</t>
  </si>
  <si>
    <t xml:space="preserve">Problem with adjusting yield is that cost change with the yield change. </t>
  </si>
  <si>
    <t>We talked about trucking being one</t>
  </si>
  <si>
    <t>I think storage might be the only other one by just looking at the main budget because those are the only two costs that are based on bushels</t>
  </si>
  <si>
    <t>Everything else is calculated on a per acre basis. So would yield impact any of those like seed, fertilizer, machinery costs?</t>
  </si>
  <si>
    <t xml:space="preserve">If they have a crop share that would change. </t>
  </si>
  <si>
    <r>
      <t>General Instructions:</t>
    </r>
    <r>
      <rPr>
        <sz val="10"/>
        <rFont val="Arial"/>
        <family val="2"/>
      </rPr>
      <t xml:space="preserve"> Cells with bold blue font can be changed by the user. This includes numerical and text cells. Cells with blue text and bold blue borders are drop down lists with several options for the user to select from. Cells in black font are locked and cannot be changed. Notes are included in italics on the right side of each sheet. </t>
    </r>
  </si>
  <si>
    <t xml:space="preserve">Each sheet has it's respective drop down list options hidden at the bottom of the sheet. Make sure that changes to names are made in their respective linked cells. </t>
  </si>
  <si>
    <t xml:space="preserve">Some of the hidden cells are highlighted in yellow and have explanations next to them. These are used to simplify equations were multiple variables are involved. </t>
  </si>
  <si>
    <t xml:space="preserve">If new rows or columns are added remember to check the conditional formatting. Sometimes rules transfer when new columns or rows are added. </t>
  </si>
  <si>
    <t>Calculating Fuel and Labor Costs</t>
  </si>
  <si>
    <t>Repairs - "=IF(I21=D61,('Machinery Calculations (Corn)'!X74-(J28*'Machinery Calculations (Corn)'!B12)),G22)"</t>
  </si>
  <si>
    <t xml:space="preserve">   (These are the corn equations as an example, it also applies to Soybeans.)</t>
  </si>
  <si>
    <t>When Machinery Rental is added into the main Corn and Soybeans sheets it is simply added to the costs and doesn't impact the Repairs and Machinery Depreciation and Overhead</t>
  </si>
  <si>
    <t>Consider a sensitivity table, notes about this are on another hidden sheet</t>
  </si>
  <si>
    <t>Machinery Depreciation and Overhead - "=IF(I21=D61,'Machinery Calculations (Corn)'!Y74-(J28*(1-'Machinery Calculations (Corn)'!B12)),G42)"</t>
  </si>
  <si>
    <t>Due to the involvement the user now has in machinery costs (Custom Work Y/N, choosing Other costs, etc) this has been changed</t>
  </si>
  <si>
    <t>The Totals for Repairs and Machinery Depreciation and Overhead *used to* account for the Machinery Rental and "Repairs % of Other (Recommend 33%)" (located on each hidden Machinery Calculations sheet in row 12)</t>
  </si>
  <si>
    <t>Enter the interest rate for grain stored.</t>
  </si>
  <si>
    <t xml:space="preserve">Select if you would like to use the default number of additional labor hours or enter your own below. </t>
  </si>
  <si>
    <t>GMO</t>
  </si>
  <si>
    <t>Heirloom</t>
  </si>
  <si>
    <t>Non-GMO</t>
  </si>
  <si>
    <t>GMO Actual Distance and Cost</t>
  </si>
  <si>
    <t>Heirloom Actual Distance and Cost</t>
  </si>
  <si>
    <t>Non-GMO Actual Distance and Cost</t>
  </si>
  <si>
    <t>Machinery Related Cost Estimates: Heirloom</t>
  </si>
  <si>
    <t>Machinery Related Cost Estimates: Non-GMO</t>
  </si>
  <si>
    <t>Machinery Related Cost Estimates: GMO</t>
  </si>
  <si>
    <r>
      <t>Options Evaluated</t>
    </r>
    <r>
      <rPr>
        <sz val="10"/>
        <rFont val="Arial"/>
        <family val="2"/>
      </rPr>
      <t>: No-Till and Conventional production of GMO, Heirloom, and Non-GMO corn varieties.</t>
    </r>
  </si>
  <si>
    <r>
      <t>Purpose</t>
    </r>
    <r>
      <rPr>
        <sz val="10"/>
        <rFont val="Arial"/>
        <family val="2"/>
      </rPr>
      <t>: This Decision Aid has been constructed to help producers budget for GMO, Heirloom, and Non-GMO corn production.</t>
    </r>
  </si>
  <si>
    <r>
      <t>GMO, Heirloom, and Non-GMO Sheets:</t>
    </r>
    <r>
      <rPr>
        <sz val="10"/>
        <rFont val="Arial"/>
        <family val="2"/>
      </rPr>
      <t xml:space="preserve"> These sheets are the main budget areas. Enter fertilizer (N,P,K) on an elemental (unit) basis. A fertilizer calculator is included where the user can change the fertilizer type. Be sure to update the cost and unit for fertilizer in the main budget area if you use the fertilizer calculator. User can estimate their own machinery-related costs or have them calculated based on the publication "Custom Machinery Rates Applicable to Kentucky" (see below). To have them calculated, enter "Y" to the question "Calculate Machinery Related Costs?". User can also decide if they would like to enter or use the estimated trucking costs by using the drop down list beside the Trucking category. User can also use drop down lists next to Storage and Land Cost to select how they would like to enter or calculate those costs. Be sure to specify the average points per bushel that you will dry your corn down by. For storage, be sure to enter the % of grain stored.</t>
    </r>
  </si>
  <si>
    <t xml:space="preserve">corn production. To navigate through the tool, please click on the tabs below.  </t>
  </si>
  <si>
    <t>This decision tool has been created to help producers budget for GMO, Heirloom, and Non-GMO</t>
  </si>
  <si>
    <t>Bushels per acre to cover variable costs.</t>
  </si>
  <si>
    <r>
      <t>Per bushel to cover</t>
    </r>
    <r>
      <rPr>
        <b/>
        <i/>
        <sz val="10"/>
        <rFont val="Arial"/>
        <family val="2"/>
      </rPr>
      <t xml:space="preserve"> variable</t>
    </r>
    <r>
      <rPr>
        <i/>
        <sz val="10"/>
        <rFont val="Arial"/>
        <family val="2"/>
      </rPr>
      <t xml:space="preserve"> costs.</t>
    </r>
  </si>
  <si>
    <r>
      <t xml:space="preserve">Per bushel to cover </t>
    </r>
    <r>
      <rPr>
        <b/>
        <i/>
        <sz val="10"/>
        <rFont val="Arial"/>
        <family val="2"/>
      </rPr>
      <t>all specified</t>
    </r>
    <r>
      <rPr>
        <i/>
        <sz val="10"/>
        <rFont val="Arial"/>
        <family val="2"/>
      </rPr>
      <t xml:space="preserve"> costs.</t>
    </r>
  </si>
  <si>
    <t>Per Acre Costs and Returns for All Varieties</t>
  </si>
  <si>
    <t>Price ($/bu)</t>
  </si>
  <si>
    <t>Breakeven Yield</t>
  </si>
  <si>
    <t>Breakeven Cost ($/bu to cover variable costs)</t>
  </si>
  <si>
    <t>Breakeven Cost ($/bu to cover all specified costs)</t>
  </si>
  <si>
    <t xml:space="preserve">If any costs are not visible it's because "Enter $/Bushel" is selected for Storage costs for that type of corn. </t>
  </si>
  <si>
    <t>Yield (bu/acre)</t>
  </si>
  <si>
    <t>** This cell is for conditional formatting for if the user chooses N for Machinery Costs</t>
  </si>
  <si>
    <t>This ensures that the place to enter $/bushel will still show up</t>
  </si>
  <si>
    <t>Additional Labor Hours and Fuel Usage</t>
  </si>
  <si>
    <t>Extra Labor (Hours per Acre)</t>
  </si>
  <si>
    <t>Extra Fuel (Gallons per Acre)</t>
  </si>
  <si>
    <t>Select "Enter Below" if you would like to change the defaults for additional labor hours or additional fuel usage.</t>
  </si>
  <si>
    <r>
      <t>Additional Labor Hours (</t>
    </r>
    <r>
      <rPr>
        <i/>
        <sz val="10"/>
        <rFont val="Arial"/>
        <family val="2"/>
      </rPr>
      <t>change this above</t>
    </r>
    <r>
      <rPr>
        <sz val="10"/>
        <rFont val="Arial"/>
        <family val="2"/>
      </rPr>
      <t>)</t>
    </r>
  </si>
  <si>
    <r>
      <t>Additional Fuel Gallons (</t>
    </r>
    <r>
      <rPr>
        <i/>
        <sz val="10"/>
        <rFont val="Arial"/>
        <family val="2"/>
      </rPr>
      <t>change this above</t>
    </r>
    <r>
      <rPr>
        <sz val="10"/>
        <rFont val="Arial"/>
        <family val="2"/>
      </rPr>
      <t>)</t>
    </r>
  </si>
  <si>
    <t>Per Acre</t>
  </si>
  <si>
    <t>Fertilizer: Nitrogen</t>
  </si>
  <si>
    <t>Fertilizer: P, K, Lime, Other</t>
  </si>
  <si>
    <r>
      <t>Machinery Sheets</t>
    </r>
    <r>
      <rPr>
        <u/>
        <sz val="10"/>
        <rFont val="Arial"/>
        <family val="2"/>
      </rPr>
      <t>:</t>
    </r>
    <r>
      <rPr>
        <sz val="10"/>
        <rFont val="Arial"/>
        <family val="2"/>
      </rPr>
      <t xml:space="preserve"> There are separate machinery calculation sheets for GMO, Heirloom, and Non-GMO corn varieties. The user can utilize these sheets if they want machinery-related costs calculated based on the publication "Custom Machinery Rates Applicable to Kentucky". These estimates include fuel, labor, repairs, overhead and depreciation. Otherwise, enter estimates directly in the budgets. When using this sheet, follow the specific instructions noted directly in the sheet itself. The user can change the base fuel price, labor rate(s), trucking distance, and other parameters (highlighted in blue). Except for additional labor, these can only be changed on the Machinery sheet for each variety. User can select either no-till or conventional tillage and if they would like to use the default number of trips per acre or enter their own. If they choose to enter the number of trips per acre, the user can also indicate if any of the machinery operations were custom work by selecting "Y" next to each machinery operation. User can increase or decrease the calculated rates by their specified percentage. To use these calculations, make sure to answer "Y" to the question "Calculate Machinery Related Costs" in each budget.     </t>
    </r>
  </si>
  <si>
    <r>
      <t>Storage Costs Sheet:</t>
    </r>
    <r>
      <rPr>
        <sz val="10"/>
        <rFont val="Arial"/>
        <family val="2"/>
      </rPr>
      <t xml:space="preserve"> On the GMO, Heirloom, and Non-GMO sheets, the user can choose to "Enter $/bu" or "Use Calculator" for storage costs. If the user selects "Use Calculator", then they enter the % of grain stored on the main budget sheet and then calculate the rest of the costs, including storage facility costs, interest, additional drying, trucking, etc. on the Storage sheet. </t>
    </r>
  </si>
  <si>
    <r>
      <t>Summary Sheet:</t>
    </r>
    <r>
      <rPr>
        <sz val="10"/>
        <rFont val="Arial"/>
        <family val="2"/>
      </rPr>
      <t xml:space="preserve"> The summary sheet shows a condensed version of the main budget for all 3 corn varieties, outlining costs and returns. No changes can been made to this sheet. </t>
    </r>
  </si>
  <si>
    <t>Specialty Corn Budgets 2021</t>
  </si>
  <si>
    <t xml:space="preserve">Change the percentage of grain stored on the corn sheet. </t>
  </si>
  <si>
    <t>Last Updated 4/19/2021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</si>
</sst>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164" formatCode="&quot;$&quot;#,##0.00"/>
    <numFmt numFmtId="165" formatCode="&quot;$&quot;#,##0"/>
    <numFmt numFmtId="166" formatCode="0.0%"/>
    <numFmt numFmtId="167" formatCode="#,##0.0"/>
    <numFmt numFmtId="168" formatCode="0.0"/>
    <numFmt numFmtId="169" formatCode="&quot;$&quot;#,##0.000"/>
    <numFmt numFmtId="170" formatCode="0.0000000"/>
    <numFmt numFmtId="171" formatCode="0.00000"/>
  </numFmts>
  <fonts count="29"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9"/>
      <name val="Arial"/>
      <family val="2"/>
    </font>
    <font>
      <vertAlign val="superscript"/>
      <sz val="10"/>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
      <sz val="10"/>
      <name val="Arial"/>
      <family val="2"/>
    </font>
    <font>
      <sz val="10"/>
      <color rgb="FF0000FF"/>
      <name val="Arial"/>
      <family val="2"/>
    </font>
    <font>
      <b/>
      <sz val="10"/>
      <color rgb="FF0000FF"/>
      <name val="Arial"/>
      <family val="2"/>
    </font>
    <font>
      <b/>
      <sz val="9"/>
      <name val="Arial"/>
      <family val="2"/>
    </font>
    <font>
      <i/>
      <sz val="10"/>
      <color rgb="FFFF0000"/>
      <name val="Arial"/>
      <family val="2"/>
    </font>
    <font>
      <b/>
      <i/>
      <sz val="10"/>
      <color indexed="12"/>
      <name val="Arial"/>
      <family val="2"/>
    </font>
    <font>
      <b/>
      <i/>
      <sz val="10"/>
      <color rgb="FF0000FF"/>
      <name val="Arial"/>
      <family val="2"/>
    </font>
  </fonts>
  <fills count="14">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rgb="FF000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AEAEA"/>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rgb="FF0000FF"/>
      </right>
      <top style="thin">
        <color indexed="64"/>
      </top>
      <bottom style="thin">
        <color indexed="64"/>
      </bottom>
      <diagonal/>
    </border>
    <border>
      <left style="thin">
        <color rgb="FF0000FF"/>
      </left>
      <right style="thin">
        <color rgb="FF0000FF"/>
      </right>
      <top style="thin">
        <color indexed="64"/>
      </top>
      <bottom style="thin">
        <color indexed="64"/>
      </bottom>
      <diagonal/>
    </border>
    <border>
      <left style="thin">
        <color rgb="FF0000FF"/>
      </left>
      <right/>
      <top style="thin">
        <color indexed="64"/>
      </top>
      <bottom style="thin">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thin">
        <color rgb="FF0000FF"/>
      </left>
      <right style="medium">
        <color rgb="FF0000FF"/>
      </right>
      <top style="medium">
        <color rgb="FF0000FF"/>
      </top>
      <bottom style="medium">
        <color rgb="FF0000FF"/>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thin">
        <color indexed="64"/>
      </left>
      <right style="double">
        <color indexed="64"/>
      </right>
      <top style="thin">
        <color indexed="64"/>
      </top>
      <bottom style="thin">
        <color indexed="64"/>
      </bottom>
      <diagonal/>
    </border>
    <border>
      <left style="medium">
        <color rgb="FF0000FF"/>
      </left>
      <right style="medium">
        <color rgb="FF0000FF"/>
      </right>
      <top style="medium">
        <color rgb="FF0000FF"/>
      </top>
      <bottom/>
      <diagonal/>
    </border>
    <border>
      <left style="thin">
        <color indexed="64"/>
      </left>
      <right style="thin">
        <color indexed="64"/>
      </right>
      <top style="medium">
        <color rgb="FF0000FF"/>
      </top>
      <bottom style="thin">
        <color indexed="64"/>
      </bottom>
      <diagonal/>
    </border>
    <border>
      <left/>
      <right/>
      <top style="medium">
        <color rgb="FF0000FF"/>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4">
    <xf numFmtId="0" fontId="0" fillId="0" borderId="0"/>
    <xf numFmtId="0" fontId="13" fillId="0" borderId="0" applyNumberFormat="0" applyFill="0" applyBorder="0" applyAlignment="0" applyProtection="0">
      <alignment vertical="top"/>
      <protection locked="0"/>
    </xf>
    <xf numFmtId="44" fontId="22" fillId="0" borderId="0" applyFont="0" applyFill="0" applyBorder="0" applyAlignment="0" applyProtection="0"/>
    <xf numFmtId="9" fontId="22" fillId="0" borderId="0" applyFont="0" applyFill="0" applyBorder="0" applyAlignment="0" applyProtection="0"/>
  </cellStyleXfs>
  <cellXfs count="912">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0" borderId="1" xfId="0" applyNumberFormat="1" applyFont="1" applyFill="1" applyBorder="1"/>
    <xf numFmtId="164" fontId="4" fillId="0" borderId="0" xfId="0" applyNumberFormat="1" applyFont="1"/>
    <xf numFmtId="0" fontId="4" fillId="0" borderId="0" xfId="0" applyFont="1"/>
    <xf numFmtId="0" fontId="0" fillId="0" borderId="1" xfId="0" applyFill="1" applyBorder="1"/>
    <xf numFmtId="0" fontId="2" fillId="0" borderId="1" xfId="0" applyFont="1" applyFill="1" applyBorder="1"/>
    <xf numFmtId="2" fontId="3" fillId="0" borderId="1" xfId="0" applyNumberFormat="1" applyFont="1" applyFill="1" applyBorder="1"/>
    <xf numFmtId="4" fontId="3" fillId="0"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169" fontId="0" fillId="0" borderId="0" xfId="0" applyNumberFormat="1"/>
    <xf numFmtId="0" fontId="0" fillId="0" borderId="1" xfId="0" applyBorder="1" applyAlignment="1">
      <alignment wrapText="1"/>
    </xf>
    <xf numFmtId="0" fontId="3" fillId="0" borderId="1" xfId="0" applyFont="1" applyBorder="1"/>
    <xf numFmtId="164" fontId="0" fillId="0" borderId="1" xfId="0" applyNumberFormat="1" applyFill="1" applyBorder="1"/>
    <xf numFmtId="164" fontId="9" fillId="0" borderId="1" xfId="0" applyNumberFormat="1" applyFont="1" applyBorder="1"/>
    <xf numFmtId="0" fontId="0" fillId="0" borderId="0" xfId="0" applyFill="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1" fillId="0" borderId="1" xfId="0" applyNumberFormat="1" applyFont="1" applyBorder="1"/>
    <xf numFmtId="1" fontId="1" fillId="0" borderId="1" xfId="0" applyNumberFormat="1" applyFont="1" applyFill="1" applyBorder="1" applyAlignment="1">
      <alignment horizontal="center"/>
    </xf>
    <xf numFmtId="0" fontId="1" fillId="0" borderId="1" xfId="0" applyFont="1" applyBorder="1" applyAlignment="1">
      <alignment horizontal="center"/>
    </xf>
    <xf numFmtId="0" fontId="0" fillId="0" borderId="0" xfId="0" applyBorder="1"/>
    <xf numFmtId="0" fontId="3" fillId="0" borderId="0" xfId="0" applyFont="1" applyFill="1"/>
    <xf numFmtId="164" fontId="3" fillId="0" borderId="1" xfId="0" applyNumberFormat="1" applyFont="1" applyBorder="1"/>
    <xf numFmtId="0" fontId="0" fillId="0" borderId="0" xfId="0" applyAlignment="1">
      <alignment horizontal="center"/>
    </xf>
    <xf numFmtId="0" fontId="0" fillId="0" borderId="0" xfId="0" applyAlignment="1">
      <alignment wrapText="1"/>
    </xf>
    <xf numFmtId="0" fontId="0" fillId="0" borderId="1" xfId="0" applyBorder="1" applyAlignment="1">
      <alignment horizontal="center" wrapText="1"/>
    </xf>
    <xf numFmtId="1" fontId="1" fillId="0" borderId="1" xfId="0" applyNumberFormat="1" applyFont="1" applyBorder="1"/>
    <xf numFmtId="1" fontId="18" fillId="0" borderId="1" xfId="0" applyNumberFormat="1" applyFont="1" applyBorder="1"/>
    <xf numFmtId="168" fontId="19" fillId="0" borderId="1" xfId="0" applyNumberFormat="1" applyFont="1" applyBorder="1"/>
    <xf numFmtId="168" fontId="18" fillId="0" borderId="1" xfId="0" applyNumberFormat="1" applyFont="1" applyBorder="1"/>
    <xf numFmtId="9" fontId="19" fillId="0" borderId="1" xfId="0" applyNumberFormat="1" applyFont="1" applyBorder="1"/>
    <xf numFmtId="9" fontId="18" fillId="0" borderId="1" xfId="0" applyNumberFormat="1" applyFont="1" applyBorder="1"/>
    <xf numFmtId="1" fontId="19" fillId="0" borderId="1" xfId="0" applyNumberFormat="1" applyFont="1" applyBorder="1"/>
    <xf numFmtId="164" fontId="19" fillId="0" borderId="1" xfId="0" applyNumberFormat="1" applyFont="1" applyBorder="1"/>
    <xf numFmtId="1" fontId="1" fillId="0" borderId="0" xfId="0" applyNumberFormat="1" applyFont="1"/>
    <xf numFmtId="1" fontId="18" fillId="0" borderId="0" xfId="0" applyNumberFormat="1" applyFont="1"/>
    <xf numFmtId="0" fontId="20" fillId="0" borderId="0" xfId="0" applyFont="1"/>
    <xf numFmtId="0" fontId="0" fillId="0" borderId="0" xfId="0" applyFill="1" applyBorder="1" applyAlignment="1"/>
    <xf numFmtId="170" fontId="5" fillId="0" borderId="0" xfId="0" applyNumberFormat="1" applyFont="1" applyFill="1" applyBorder="1" applyAlignment="1"/>
    <xf numFmtId="0" fontId="0" fillId="0" borderId="15" xfId="0" applyFill="1" applyBorder="1" applyAlignment="1"/>
    <xf numFmtId="0" fontId="3" fillId="0" borderId="0" xfId="0" applyFont="1" applyFill="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18" fillId="6" borderId="1" xfId="0" applyNumberFormat="1" applyFont="1" applyFill="1" applyBorder="1"/>
    <xf numFmtId="0" fontId="3" fillId="0" borderId="1" xfId="0" applyFont="1" applyFill="1" applyBorder="1"/>
    <xf numFmtId="164" fontId="1" fillId="0" borderId="1" xfId="0" applyNumberFormat="1" applyFont="1" applyFill="1" applyBorder="1"/>
    <xf numFmtId="0" fontId="3" fillId="6" borderId="0" xfId="0" applyFont="1" applyFill="1"/>
    <xf numFmtId="0" fontId="21"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 fontId="4" fillId="6" borderId="0" xfId="0" applyNumberFormat="1" applyFont="1" applyFill="1"/>
    <xf numFmtId="0" fontId="0" fillId="6" borderId="1" xfId="0" applyFill="1" applyBorder="1"/>
    <xf numFmtId="0" fontId="3" fillId="6" borderId="1" xfId="0" applyFont="1" applyFill="1" applyBorder="1"/>
    <xf numFmtId="164" fontId="0" fillId="6" borderId="1" xfId="0" applyNumberFormat="1" applyFill="1" applyBorder="1"/>
    <xf numFmtId="0" fontId="3" fillId="0" borderId="1" xfId="0" applyFont="1" applyBorder="1" applyAlignment="1">
      <alignment horizontal="center" vertical="center" wrapText="1"/>
    </xf>
    <xf numFmtId="168" fontId="1" fillId="4" borderId="1" xfId="0" applyNumberFormat="1" applyFont="1" applyFill="1" applyBorder="1" applyAlignment="1">
      <alignment horizontal="center"/>
    </xf>
    <xf numFmtId="0" fontId="3" fillId="0" borderId="0" xfId="0" applyFont="1" applyFill="1" applyBorder="1" applyAlignment="1">
      <alignment horizontal="center"/>
    </xf>
    <xf numFmtId="0" fontId="0" fillId="0" borderId="0" xfId="0" applyAlignment="1">
      <alignment horizontal="center" vertical="center"/>
    </xf>
    <xf numFmtId="0" fontId="3" fillId="0" borderId="0" xfId="0" applyFont="1" applyBorder="1"/>
    <xf numFmtId="0" fontId="3" fillId="0" borderId="0" xfId="0" applyFont="1" applyFill="1" applyBorder="1"/>
    <xf numFmtId="0" fontId="1" fillId="0" borderId="2" xfId="0" applyFont="1" applyBorder="1" applyAlignment="1"/>
    <xf numFmtId="0" fontId="2" fillId="0" borderId="1" xfId="0" applyFont="1" applyBorder="1" applyAlignment="1">
      <alignment horizontal="center" vertical="center"/>
    </xf>
    <xf numFmtId="0" fontId="0" fillId="0" borderId="0" xfId="0" applyFill="1" applyBorder="1"/>
    <xf numFmtId="0" fontId="21" fillId="0" borderId="0" xfId="0" applyFont="1"/>
    <xf numFmtId="0" fontId="21" fillId="0" borderId="0" xfId="0" applyFont="1" applyFill="1" applyBorder="1" applyAlignment="1"/>
    <xf numFmtId="0" fontId="3" fillId="0" borderId="0" xfId="0" applyFont="1" applyAlignment="1">
      <alignment vertical="center"/>
    </xf>
    <xf numFmtId="0" fontId="2" fillId="0" borderId="1" xfId="0" applyFont="1" applyFill="1" applyBorder="1" applyAlignment="1">
      <alignment horizontal="center" vertical="center"/>
    </xf>
    <xf numFmtId="164" fontId="0" fillId="0" borderId="0" xfId="0" applyNumberFormat="1" applyFill="1" applyBorder="1"/>
    <xf numFmtId="0" fontId="2" fillId="0" borderId="0" xfId="0" applyFont="1"/>
    <xf numFmtId="164" fontId="3" fillId="0" borderId="0" xfId="0" applyNumberFormat="1" applyFont="1" applyFill="1" applyBorder="1"/>
    <xf numFmtId="0" fontId="0" fillId="7" borderId="1" xfId="0" applyFill="1" applyBorder="1"/>
    <xf numFmtId="0" fontId="3" fillId="0" borderId="0" xfId="0" applyFont="1" applyBorder="1" applyProtection="1"/>
    <xf numFmtId="0" fontId="3" fillId="0" borderId="0" xfId="0" applyFont="1" applyFill="1" applyBorder="1" applyProtection="1"/>
    <xf numFmtId="164" fontId="9" fillId="0" borderId="1" xfId="0" applyNumberFormat="1" applyFont="1" applyFill="1" applyBorder="1"/>
    <xf numFmtId="168" fontId="3" fillId="0" borderId="0" xfId="0" applyNumberFormat="1" applyFont="1" applyFill="1" applyBorder="1" applyAlignment="1">
      <alignment horizontal="left"/>
    </xf>
    <xf numFmtId="0" fontId="3" fillId="0" borderId="1" xfId="0" applyFont="1" applyBorder="1" applyProtection="1"/>
    <xf numFmtId="168" fontId="24" fillId="0" borderId="1" xfId="0" applyNumberFormat="1" applyFont="1" applyBorder="1" applyAlignment="1" applyProtection="1">
      <alignment horizontal="center"/>
    </xf>
    <xf numFmtId="0" fontId="3" fillId="0" borderId="1" xfId="0" applyFont="1" applyFill="1" applyBorder="1" applyProtection="1"/>
    <xf numFmtId="0" fontId="3" fillId="6" borderId="1" xfId="0" applyFont="1" applyFill="1" applyBorder="1" applyProtection="1"/>
    <xf numFmtId="168" fontId="24" fillId="6" borderId="1" xfId="0" applyNumberFormat="1" applyFont="1" applyFill="1" applyBorder="1" applyAlignment="1" applyProtection="1">
      <alignment horizontal="center"/>
    </xf>
    <xf numFmtId="9" fontId="1" fillId="0" borderId="1" xfId="3" applyFont="1" applyBorder="1" applyAlignment="1">
      <alignment horizont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8" fontId="1" fillId="6" borderId="1" xfId="0" applyNumberFormat="1" applyFont="1" applyFill="1" applyBorder="1" applyAlignment="1">
      <alignment horizontal="center"/>
    </xf>
    <xf numFmtId="0" fontId="0" fillId="0" borderId="1" xfId="0" applyFill="1" applyBorder="1"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wrapText="1"/>
    </xf>
    <xf numFmtId="164" fontId="5" fillId="0" borderId="1" xfId="0" applyNumberFormat="1" applyFont="1" applyFill="1" applyBorder="1" applyAlignment="1">
      <alignment horizontal="center"/>
    </xf>
    <xf numFmtId="164" fontId="1" fillId="0" borderId="1" xfId="0" applyNumberFormat="1" applyFont="1" applyFill="1" applyBorder="1" applyAlignment="1">
      <alignment horizontal="center"/>
    </xf>
    <xf numFmtId="0" fontId="1" fillId="0" borderId="1" xfId="0" applyFont="1" applyBorder="1" applyAlignment="1">
      <alignment horizontal="center" wrapText="1"/>
    </xf>
    <xf numFmtId="0" fontId="3" fillId="0" borderId="2" xfId="0" applyFont="1" applyBorder="1"/>
    <xf numFmtId="0" fontId="3" fillId="0" borderId="2" xfId="0" applyFont="1" applyBorder="1" applyAlignment="1">
      <alignment horizontal="center" vertical="center"/>
    </xf>
    <xf numFmtId="168" fontId="24" fillId="0" borderId="1" xfId="0" applyNumberFormat="1" applyFont="1" applyFill="1" applyBorder="1" applyAlignment="1">
      <alignment horizontal="center"/>
    </xf>
    <xf numFmtId="0" fontId="0" fillId="0" borderId="0" xfId="0" applyBorder="1" applyAlignment="1">
      <alignment horizontal="left"/>
    </xf>
    <xf numFmtId="0" fontId="2" fillId="0" borderId="1" xfId="0" applyFont="1" applyFill="1" applyBorder="1" applyAlignment="1">
      <alignment horizontal="center"/>
    </xf>
    <xf numFmtId="9" fontId="1" fillId="0" borderId="1" xfId="0" applyNumberFormat="1" applyFont="1" applyFill="1" applyBorder="1" applyAlignment="1">
      <alignment horizontal="center"/>
    </xf>
    <xf numFmtId="9" fontId="5" fillId="0" borderId="1" xfId="0" applyNumberFormat="1" applyFont="1" applyFill="1" applyBorder="1"/>
    <xf numFmtId="9" fontId="5" fillId="0" borderId="1" xfId="0" applyNumberFormat="1" applyFont="1" applyFill="1" applyBorder="1" applyAlignment="1"/>
    <xf numFmtId="2" fontId="1" fillId="0" borderId="1" xfId="0" applyNumberFormat="1" applyFont="1" applyFill="1" applyBorder="1" applyAlignment="1">
      <alignment horizontal="center"/>
    </xf>
    <xf numFmtId="168" fontId="1" fillId="0" borderId="3" xfId="0" applyNumberFormat="1" applyFont="1" applyBorder="1" applyAlignment="1">
      <alignment horizontal="center"/>
    </xf>
    <xf numFmtId="1" fontId="1" fillId="0" borderId="1" xfId="0" applyNumberFormat="1" applyFont="1" applyBorder="1" applyAlignment="1">
      <alignment horizontal="center" vertical="center"/>
    </xf>
    <xf numFmtId="164" fontId="1" fillId="7" borderId="1" xfId="0" applyNumberFormat="1" applyFont="1" applyFill="1" applyBorder="1" applyAlignment="1">
      <alignment horizontal="center"/>
    </xf>
    <xf numFmtId="0" fontId="0" fillId="7" borderId="0" xfId="0" applyFill="1"/>
    <xf numFmtId="9" fontId="1" fillId="7" borderId="1" xfId="0" applyNumberFormat="1" applyFont="1" applyFill="1" applyBorder="1" applyAlignment="1">
      <alignment horizontal="center"/>
    </xf>
    <xf numFmtId="1" fontId="1" fillId="7" borderId="1" xfId="0" applyNumberFormat="1" applyFont="1" applyFill="1" applyBorder="1" applyAlignment="1">
      <alignment horizontal="center"/>
    </xf>
    <xf numFmtId="9" fontId="5" fillId="7" borderId="1" xfId="0" applyNumberFormat="1" applyFont="1" applyFill="1" applyBorder="1"/>
    <xf numFmtId="9" fontId="5" fillId="7" borderId="2" xfId="0" applyNumberFormat="1" applyFont="1" applyFill="1" applyBorder="1"/>
    <xf numFmtId="9" fontId="5" fillId="7" borderId="1" xfId="0" applyNumberFormat="1" applyFont="1" applyFill="1" applyBorder="1" applyAlignment="1"/>
    <xf numFmtId="2" fontId="3" fillId="0" borderId="1" xfId="0" applyNumberFormat="1" applyFont="1" applyBorder="1"/>
    <xf numFmtId="168" fontId="1" fillId="0" borderId="1" xfId="0" applyNumberFormat="1" applyFont="1" applyFill="1" applyBorder="1" applyAlignment="1">
      <alignment horizontal="center"/>
    </xf>
    <xf numFmtId="164" fontId="1" fillId="0" borderId="1" xfId="0" applyNumberFormat="1" applyFont="1" applyFill="1" applyBorder="1" applyAlignment="1">
      <alignment horizontal="center"/>
    </xf>
    <xf numFmtId="164" fontId="1" fillId="0" borderId="0"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2" fontId="1" fillId="7" borderId="1" xfId="0" applyNumberFormat="1" applyFont="1" applyFill="1" applyBorder="1" applyAlignment="1">
      <alignment horizontal="center"/>
    </xf>
    <xf numFmtId="164" fontId="3"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3" fillId="0" borderId="0" xfId="0" applyFont="1" applyBorder="1" applyAlignment="1">
      <alignment horizontal="center" vertical="center"/>
    </xf>
    <xf numFmtId="165" fontId="24" fillId="0" borderId="0" xfId="0" applyNumberFormat="1" applyFont="1" applyFill="1" applyBorder="1" applyAlignment="1">
      <alignment horizontal="center" vertical="center"/>
    </xf>
    <xf numFmtId="1" fontId="24" fillId="0" borderId="0" xfId="0" applyNumberFormat="1" applyFont="1" applyFill="1" applyBorder="1" applyAlignment="1">
      <alignment horizontal="center" vertical="center"/>
    </xf>
    <xf numFmtId="0" fontId="3" fillId="0" borderId="0" xfId="0" applyNumberFormat="1" applyFont="1" applyBorder="1" applyAlignment="1">
      <alignment horizontal="center" vertical="center"/>
    </xf>
    <xf numFmtId="0" fontId="1" fillId="0" borderId="1" xfId="0" applyFont="1" applyFill="1" applyBorder="1" applyAlignment="1" applyProtection="1">
      <alignment horizontal="center" vertical="center" wrapText="1"/>
    </xf>
    <xf numFmtId="168" fontId="1"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1" fillId="0" borderId="0" xfId="0" applyFont="1" applyFill="1" applyBorder="1" applyAlignment="1" applyProtection="1">
      <alignment horizontal="center" vertical="center"/>
    </xf>
    <xf numFmtId="165" fontId="3" fillId="0" borderId="1" xfId="0" applyNumberFormat="1" applyFont="1" applyFill="1" applyBorder="1" applyAlignment="1" applyProtection="1">
      <alignment horizontal="center" vertical="center" wrapText="1"/>
    </xf>
    <xf numFmtId="0" fontId="21" fillId="0" borderId="0" xfId="0" applyFont="1" applyFill="1" applyBorder="1" applyAlignment="1">
      <alignment horizontal="left"/>
    </xf>
    <xf numFmtId="0" fontId="1" fillId="0" borderId="1" xfId="0" applyFont="1" applyBorder="1" applyAlignment="1">
      <alignment horizontal="center" wrapText="1"/>
    </xf>
    <xf numFmtId="164" fontId="1" fillId="0" borderId="1" xfId="0" applyNumberFormat="1" applyFont="1" applyBorder="1" applyAlignment="1">
      <alignment horizontal="right" indent="3"/>
    </xf>
    <xf numFmtId="164" fontId="3" fillId="0" borderId="1" xfId="0" applyNumberFormat="1" applyFont="1" applyFill="1" applyBorder="1" applyAlignment="1">
      <alignment horizontal="right" indent="3"/>
    </xf>
    <xf numFmtId="164" fontId="3" fillId="0" borderId="1" xfId="0" applyNumberFormat="1" applyFont="1" applyBorder="1" applyAlignment="1">
      <alignment horizontal="right" indent="3"/>
    </xf>
    <xf numFmtId="164" fontId="0" fillId="0" borderId="1" xfId="0" applyNumberFormat="1" applyBorder="1" applyAlignment="1">
      <alignment horizontal="right" indent="3"/>
    </xf>
    <xf numFmtId="0" fontId="3" fillId="0" borderId="0" xfId="0" applyFont="1" applyAlignment="1">
      <alignment horizontal="right"/>
    </xf>
    <xf numFmtId="0" fontId="1" fillId="0" borderId="1" xfId="0" applyFont="1" applyFill="1" applyBorder="1" applyAlignment="1">
      <alignment horizontal="center" wrapText="1"/>
    </xf>
    <xf numFmtId="0" fontId="3" fillId="0" borderId="0" xfId="0" applyFont="1" applyFill="1" applyAlignment="1">
      <alignment horizontal="right"/>
    </xf>
    <xf numFmtId="0" fontId="0" fillId="0" borderId="0" xfId="0" applyFill="1" applyBorder="1" applyAlignment="1">
      <alignment horizontal="center"/>
    </xf>
    <xf numFmtId="168" fontId="1" fillId="0" borderId="3" xfId="0" applyNumberFormat="1" applyFont="1" applyFill="1" applyBorder="1" applyAlignment="1">
      <alignment horizontal="center"/>
    </xf>
    <xf numFmtId="164" fontId="0" fillId="0" borderId="1" xfId="0" applyNumberFormat="1" applyFill="1" applyBorder="1" applyAlignment="1">
      <alignment horizontal="right" indent="3"/>
    </xf>
    <xf numFmtId="0" fontId="1" fillId="0" borderId="1" xfId="0" applyFont="1" applyBorder="1" applyAlignment="1">
      <alignment horizontal="center" wrapText="1"/>
    </xf>
    <xf numFmtId="0" fontId="3" fillId="0" borderId="1" xfId="0" applyFont="1" applyBorder="1" applyAlignment="1">
      <alignment horizontal="center"/>
    </xf>
    <xf numFmtId="2" fontId="1" fillId="0" borderId="3" xfId="0" applyNumberFormat="1" applyFont="1" applyFill="1" applyBorder="1" applyAlignment="1">
      <alignment horizontal="center"/>
    </xf>
    <xf numFmtId="2" fontId="4" fillId="0" borderId="0" xfId="0" applyNumberFormat="1" applyFont="1"/>
    <xf numFmtId="2" fontId="0" fillId="0" borderId="0" xfId="0" applyNumberFormat="1"/>
    <xf numFmtId="171" fontId="3" fillId="0" borderId="0" xfId="0" applyNumberFormat="1" applyFont="1"/>
    <xf numFmtId="9" fontId="1" fillId="0" borderId="1" xfId="3" applyFont="1" applyFill="1" applyBorder="1" applyAlignment="1">
      <alignment horizontal="center"/>
    </xf>
    <xf numFmtId="0" fontId="3" fillId="0" borderId="0" xfId="0" applyFont="1" applyFill="1" applyBorder="1" applyAlignment="1">
      <alignment horizontal="right"/>
    </xf>
    <xf numFmtId="168" fontId="0" fillId="0" borderId="0" xfId="0" applyNumberFormat="1" applyFill="1" applyBorder="1" applyAlignment="1">
      <alignment horizontal="center"/>
    </xf>
    <xf numFmtId="0" fontId="7" fillId="0" borderId="0" xfId="0" applyFont="1" applyBorder="1" applyAlignment="1"/>
    <xf numFmtId="0" fontId="1" fillId="0" borderId="4" xfId="0" applyFont="1" applyBorder="1" applyAlignment="1"/>
    <xf numFmtId="164" fontId="3" fillId="0" borderId="1" xfId="0" applyNumberFormat="1" applyFont="1" applyBorder="1" applyAlignment="1">
      <alignment horizontal="right" indent="4"/>
    </xf>
    <xf numFmtId="164" fontId="5" fillId="0" borderId="1" xfId="0" applyNumberFormat="1" applyFont="1" applyFill="1" applyBorder="1" applyAlignment="1">
      <alignment horizontal="center"/>
    </xf>
    <xf numFmtId="0" fontId="2" fillId="0" borderId="1" xfId="0" applyFont="1" applyFill="1" applyBorder="1" applyAlignment="1">
      <alignment horizontal="center"/>
    </xf>
    <xf numFmtId="168" fontId="1" fillId="8" borderId="1" xfId="0" applyNumberFormat="1" applyFont="1" applyFill="1" applyBorder="1" applyAlignment="1">
      <alignment horizontal="center"/>
    </xf>
    <xf numFmtId="1" fontId="5" fillId="8" borderId="1" xfId="0" applyNumberFormat="1" applyFont="1" applyFill="1" applyBorder="1" applyAlignment="1">
      <alignment horizontal="center"/>
    </xf>
    <xf numFmtId="168" fontId="5" fillId="8" borderId="1" xfId="0" applyNumberFormat="1" applyFont="1" applyFill="1" applyBorder="1" applyAlignment="1">
      <alignment horizontal="center"/>
    </xf>
    <xf numFmtId="1" fontId="5" fillId="0" borderId="1" xfId="0" applyNumberFormat="1" applyFont="1" applyFill="1" applyBorder="1" applyAlignment="1">
      <alignment horizontal="center"/>
    </xf>
    <xf numFmtId="168" fontId="5" fillId="0" borderId="1" xfId="0" applyNumberFormat="1" applyFont="1" applyFill="1" applyBorder="1" applyAlignment="1">
      <alignment horizontal="center"/>
    </xf>
    <xf numFmtId="0" fontId="4" fillId="0" borderId="1" xfId="0" applyFont="1" applyFill="1" applyBorder="1"/>
    <xf numFmtId="0" fontId="3" fillId="0" borderId="1" xfId="0" applyFont="1" applyFill="1" applyBorder="1" applyAlignment="1">
      <alignment horizontal="center" vertical="center" wrapText="1"/>
    </xf>
    <xf numFmtId="164" fontId="0" fillId="0" borderId="0" xfId="0" applyNumberFormat="1" applyFill="1"/>
    <xf numFmtId="164" fontId="3" fillId="0" borderId="0" xfId="0" applyNumberFormat="1" applyFont="1" applyFill="1" applyBorder="1" applyAlignment="1">
      <alignment horizontal="center" vertical="center"/>
    </xf>
    <xf numFmtId="0" fontId="24" fillId="0" borderId="2" xfId="0" applyFont="1" applyFill="1" applyBorder="1" applyAlignment="1">
      <alignment horizontal="center"/>
    </xf>
    <xf numFmtId="0" fontId="24" fillId="0" borderId="4" xfId="0" applyFont="1" applyFill="1" applyBorder="1" applyAlignment="1">
      <alignment horizontal="center"/>
    </xf>
    <xf numFmtId="0" fontId="7" fillId="0" borderId="3" xfId="0" applyFont="1" applyBorder="1" applyAlignment="1">
      <alignment horizontal="center"/>
    </xf>
    <xf numFmtId="1" fontId="1" fillId="0" borderId="1" xfId="0" applyNumberFormat="1" applyFont="1" applyFill="1" applyBorder="1" applyAlignment="1" applyProtection="1">
      <alignment horizontal="center" vertical="center" wrapText="1"/>
    </xf>
    <xf numFmtId="164" fontId="1" fillId="0" borderId="1" xfId="0" applyNumberFormat="1" applyFont="1" applyBorder="1" applyAlignment="1">
      <alignment horizontal="right" indent="1"/>
    </xf>
    <xf numFmtId="164" fontId="1" fillId="0" borderId="1" xfId="0" applyNumberFormat="1" applyFont="1" applyFill="1" applyBorder="1" applyAlignment="1">
      <alignment horizontal="right" indent="1"/>
    </xf>
    <xf numFmtId="0" fontId="3" fillId="0" borderId="2" xfId="0" applyFont="1" applyBorder="1" applyAlignment="1">
      <alignment horizontal="left" vertical="center"/>
    </xf>
    <xf numFmtId="0" fontId="3" fillId="0" borderId="3" xfId="0" applyFont="1" applyBorder="1"/>
    <xf numFmtId="0" fontId="3" fillId="0" borderId="3" xfId="0" applyFont="1" applyFill="1" applyBorder="1"/>
    <xf numFmtId="0" fontId="1" fillId="0" borderId="16" xfId="0" applyFont="1" applyFill="1" applyBorder="1" applyAlignment="1">
      <alignment horizontal="center" wrapText="1"/>
    </xf>
    <xf numFmtId="2" fontId="24" fillId="0" borderId="16" xfId="0" applyNumberFormat="1" applyFont="1" applyFill="1" applyBorder="1" applyAlignment="1">
      <alignment horizontal="center" wrapText="1"/>
    </xf>
    <xf numFmtId="9" fontId="24" fillId="0" borderId="16" xfId="3" applyFont="1" applyBorder="1" applyAlignment="1">
      <alignment horizontal="center"/>
    </xf>
    <xf numFmtId="0" fontId="0" fillId="0" borderId="3" xfId="0" applyFill="1" applyBorder="1"/>
    <xf numFmtId="168" fontId="24" fillId="0" borderId="2" xfId="0" applyNumberFormat="1" applyFont="1" applyBorder="1" applyAlignment="1">
      <alignment horizontal="center"/>
    </xf>
    <xf numFmtId="168" fontId="24" fillId="0" borderId="2" xfId="0" applyNumberFormat="1" applyFont="1" applyFill="1" applyBorder="1" applyAlignment="1">
      <alignment horizontal="center"/>
    </xf>
    <xf numFmtId="9" fontId="24" fillId="0" borderId="16" xfId="3" applyFont="1" applyFill="1" applyBorder="1" applyAlignment="1">
      <alignment horizontal="center"/>
    </xf>
    <xf numFmtId="0" fontId="0" fillId="0" borderId="3" xfId="0" applyFill="1" applyBorder="1" applyAlignment="1">
      <alignment horizontal="center" vertical="center"/>
    </xf>
    <xf numFmtId="0" fontId="13" fillId="9" borderId="0" xfId="1" applyFill="1" applyAlignment="1" applyProtection="1"/>
    <xf numFmtId="165" fontId="8" fillId="10" borderId="1" xfId="0" applyNumberFormat="1" applyFont="1" applyFill="1" applyBorder="1"/>
    <xf numFmtId="1" fontId="8" fillId="10" borderId="1" xfId="0" applyNumberFormat="1" applyFont="1" applyFill="1" applyBorder="1"/>
    <xf numFmtId="164" fontId="8" fillId="10" borderId="1" xfId="0" applyNumberFormat="1" applyFont="1" applyFill="1" applyBorder="1"/>
    <xf numFmtId="0" fontId="0" fillId="0" borderId="4" xfId="0" applyBorder="1" applyAlignment="1"/>
    <xf numFmtId="0" fontId="0" fillId="0" borderId="3" xfId="0" applyBorder="1" applyAlignment="1"/>
    <xf numFmtId="0" fontId="1" fillId="0" borderId="0" xfId="0" applyFont="1" applyFill="1" applyBorder="1" applyAlignment="1" applyProtection="1">
      <alignment horizontal="center" vertical="center" wrapText="1"/>
    </xf>
    <xf numFmtId="0" fontId="0" fillId="0" borderId="1" xfId="0" applyBorder="1" applyAlignment="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5" xfId="0" applyBorder="1" applyAlignment="1"/>
    <xf numFmtId="9" fontId="5" fillId="6" borderId="1" xfId="0" applyNumberFormat="1" applyFont="1" applyFill="1" applyBorder="1"/>
    <xf numFmtId="164" fontId="5" fillId="6" borderId="1" xfId="0" applyNumberFormat="1" applyFont="1" applyFill="1" applyBorder="1"/>
    <xf numFmtId="9" fontId="5" fillId="6" borderId="1" xfId="0" applyNumberFormat="1" applyFont="1" applyFill="1" applyBorder="1" applyAlignment="1">
      <alignment horizontal="center"/>
    </xf>
    <xf numFmtId="164" fontId="4" fillId="6" borderId="1" xfId="0" applyNumberFormat="1" applyFont="1" applyFill="1" applyBorder="1"/>
    <xf numFmtId="0" fontId="1" fillId="6" borderId="1" xfId="0" applyFont="1" applyFill="1" applyBorder="1" applyAlignment="1">
      <alignment horizontal="center" wrapText="1"/>
    </xf>
    <xf numFmtId="4" fontId="3" fillId="6" borderId="1" xfId="0" applyNumberFormat="1" applyFont="1" applyFill="1" applyBorder="1"/>
    <xf numFmtId="1" fontId="5" fillId="11" borderId="1" xfId="0" applyNumberFormat="1" applyFont="1" applyFill="1" applyBorder="1" applyAlignment="1">
      <alignment horizontal="center"/>
    </xf>
    <xf numFmtId="164" fontId="5" fillId="11" borderId="1" xfId="0" applyNumberFormat="1" applyFont="1" applyFill="1" applyBorder="1" applyAlignment="1">
      <alignment horizontal="center"/>
    </xf>
    <xf numFmtId="164" fontId="4" fillId="11" borderId="1" xfId="0" applyNumberFormat="1" applyFont="1" applyFill="1" applyBorder="1"/>
    <xf numFmtId="2" fontId="3" fillId="11" borderId="1" xfId="0" applyNumberFormat="1" applyFont="1" applyFill="1" applyBorder="1"/>
    <xf numFmtId="164" fontId="0" fillId="11" borderId="1" xfId="0" applyNumberFormat="1" applyFill="1" applyBorder="1"/>
    <xf numFmtId="0" fontId="0" fillId="11" borderId="1" xfId="0" applyFill="1" applyBorder="1"/>
    <xf numFmtId="0" fontId="0" fillId="0" borderId="4" xfId="0" applyBorder="1" applyAlignment="1"/>
    <xf numFmtId="0" fontId="0" fillId="0" borderId="3" xfId="0" applyBorder="1" applyAlignment="1"/>
    <xf numFmtId="0" fontId="0" fillId="0" borderId="11" xfId="0" applyBorder="1" applyAlignment="1"/>
    <xf numFmtId="165" fontId="24"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0" fontId="0" fillId="0" borderId="0" xfId="0" applyAlignment="1">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Fill="1" applyBorder="1" applyAlignment="1">
      <alignment vertical="center"/>
    </xf>
    <xf numFmtId="0" fontId="5" fillId="0" borderId="1" xfId="0" applyFont="1" applyFill="1" applyBorder="1" applyAlignment="1" applyProtection="1">
      <alignment vertical="center"/>
      <protection locked="0"/>
    </xf>
    <xf numFmtId="164" fontId="5" fillId="0" borderId="1" xfId="0" applyNumberFormat="1" applyFont="1" applyFill="1" applyBorder="1" applyAlignment="1" applyProtection="1">
      <alignment vertical="center"/>
      <protection locked="0"/>
    </xf>
    <xf numFmtId="164" fontId="0" fillId="0" borderId="1" xfId="0" applyNumberFormat="1" applyFill="1" applyBorder="1" applyAlignment="1">
      <alignment vertical="center"/>
    </xf>
    <xf numFmtId="164" fontId="3" fillId="0" borderId="1" xfId="0" applyNumberFormat="1" applyFont="1" applyFill="1" applyBorder="1" applyAlignment="1">
      <alignment vertical="center"/>
    </xf>
    <xf numFmtId="164" fontId="9" fillId="0" borderId="1" xfId="0" applyNumberFormat="1" applyFont="1" applyFill="1" applyBorder="1" applyAlignment="1">
      <alignment vertical="center"/>
    </xf>
    <xf numFmtId="164" fontId="5" fillId="0" borderId="1" xfId="0" applyNumberFormat="1" applyFont="1" applyFill="1" applyBorder="1" applyAlignment="1">
      <alignment vertical="center"/>
    </xf>
    <xf numFmtId="164" fontId="1" fillId="0" borderId="1" xfId="0" applyNumberFormat="1" applyFont="1"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2" fontId="5" fillId="0" borderId="1" xfId="0" applyNumberFormat="1" applyFont="1" applyFill="1" applyBorder="1" applyAlignment="1" applyProtection="1">
      <alignment vertical="center"/>
      <protection locked="0"/>
    </xf>
    <xf numFmtId="164" fontId="0" fillId="0" borderId="0" xfId="0" applyNumberFormat="1" applyBorder="1" applyAlignment="1">
      <alignment vertical="center"/>
    </xf>
    <xf numFmtId="0" fontId="3" fillId="0" borderId="1" xfId="0" applyFont="1" applyFill="1" applyBorder="1" applyAlignment="1">
      <alignment vertical="center"/>
    </xf>
    <xf numFmtId="0" fontId="21" fillId="0" borderId="0" xfId="0" applyFont="1" applyFill="1" applyBorder="1" applyAlignment="1" applyProtection="1">
      <alignment vertical="center"/>
    </xf>
    <xf numFmtId="168" fontId="5" fillId="0" borderId="1" xfId="0" applyNumberFormat="1" applyFont="1" applyFill="1" applyBorder="1" applyAlignment="1" applyProtection="1">
      <alignment vertical="center"/>
      <protection locked="0"/>
    </xf>
    <xf numFmtId="0" fontId="21" fillId="0" borderId="0" xfId="0" applyFont="1" applyFill="1" applyBorder="1" applyAlignment="1">
      <alignment vertical="center"/>
    </xf>
    <xf numFmtId="0" fontId="0" fillId="8" borderId="1" xfId="0" applyFill="1" applyBorder="1" applyAlignment="1">
      <alignment vertical="center"/>
    </xf>
    <xf numFmtId="164" fontId="5" fillId="8" borderId="2" xfId="0" applyNumberFormat="1" applyFont="1" applyFill="1" applyBorder="1" applyAlignment="1" applyProtection="1">
      <alignment horizontal="right" vertical="center"/>
      <protection locked="0"/>
    </xf>
    <xf numFmtId="164" fontId="0" fillId="8" borderId="3" xfId="0" applyNumberFormat="1" applyFill="1" applyBorder="1" applyAlignment="1">
      <alignment vertical="center"/>
    </xf>
    <xf numFmtId="164" fontId="0" fillId="0" borderId="0" xfId="0" applyNumberFormat="1" applyAlignment="1">
      <alignment vertical="center"/>
    </xf>
    <xf numFmtId="0" fontId="28" fillId="0" borderId="20" xfId="0" applyFont="1" applyFill="1" applyBorder="1" applyAlignment="1">
      <alignment horizontal="right" vertical="center"/>
    </xf>
    <xf numFmtId="0" fontId="0" fillId="0" borderId="3" xfId="0" applyFill="1" applyBorder="1" applyAlignment="1">
      <alignment vertical="center"/>
    </xf>
    <xf numFmtId="164" fontId="24" fillId="0" borderId="2" xfId="0" applyNumberFormat="1" applyFont="1" applyFill="1" applyBorder="1" applyAlignment="1" applyProtection="1">
      <alignment horizontal="right" vertical="center"/>
      <protection locked="0"/>
    </xf>
    <xf numFmtId="0" fontId="21" fillId="0" borderId="0" xfId="0" applyFont="1" applyFill="1" applyAlignment="1">
      <alignment vertical="center"/>
    </xf>
    <xf numFmtId="0" fontId="0" fillId="0" borderId="2" xfId="0" applyFill="1" applyBorder="1" applyAlignment="1">
      <alignment vertical="center"/>
    </xf>
    <xf numFmtId="164" fontId="21" fillId="0" borderId="0" xfId="0" applyNumberFormat="1" applyFont="1" applyFill="1" applyBorder="1" applyAlignment="1">
      <alignment vertical="center"/>
    </xf>
    <xf numFmtId="164" fontId="1" fillId="0" borderId="1" xfId="0" applyNumberFormat="1" applyFont="1" applyFill="1" applyBorder="1" applyAlignment="1">
      <alignment horizontal="center" vertical="center"/>
    </xf>
    <xf numFmtId="167" fontId="5" fillId="0"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xf>
    <xf numFmtId="9" fontId="5" fillId="0" borderId="1" xfId="3" applyFont="1" applyFill="1" applyBorder="1" applyAlignment="1" applyProtection="1">
      <alignment horizontal="center" vertical="center"/>
      <protection locked="0"/>
    </xf>
    <xf numFmtId="0" fontId="21" fillId="0" borderId="0" xfId="0" applyFont="1" applyAlignment="1">
      <alignment vertical="center"/>
    </xf>
    <xf numFmtId="9" fontId="5" fillId="0" borderId="1" xfId="3" applyFont="1" applyFill="1" applyBorder="1" applyAlignment="1">
      <alignment horizontal="center" vertical="center"/>
    </xf>
    <xf numFmtId="165" fontId="0" fillId="0" borderId="1" xfId="0" applyNumberFormat="1" applyFill="1" applyBorder="1" applyAlignment="1">
      <alignment vertical="center"/>
    </xf>
    <xf numFmtId="166" fontId="5" fillId="0" borderId="1" xfId="0" applyNumberFormat="1" applyFont="1" applyFill="1" applyBorder="1" applyAlignment="1" applyProtection="1">
      <alignment vertical="center"/>
      <protection locked="0"/>
    </xf>
    <xf numFmtId="1" fontId="5" fillId="0" borderId="1" xfId="0" applyNumberFormat="1" applyFont="1" applyFill="1" applyBorder="1" applyAlignment="1" applyProtection="1">
      <alignment horizontal="center" vertical="center"/>
      <protection locked="0"/>
    </xf>
    <xf numFmtId="165" fontId="8" fillId="10" borderId="1" xfId="0" applyNumberFormat="1" applyFont="1" applyFill="1" applyBorder="1" applyAlignment="1">
      <alignment vertical="center"/>
    </xf>
    <xf numFmtId="164" fontId="0" fillId="8" borderId="1" xfId="0" applyNumberFormat="1" applyFill="1" applyBorder="1" applyAlignment="1">
      <alignment vertical="center"/>
    </xf>
    <xf numFmtId="1" fontId="8" fillId="10" borderId="1" xfId="0" applyNumberFormat="1" applyFont="1" applyFill="1" applyBorder="1" applyAlignment="1">
      <alignment vertical="center"/>
    </xf>
    <xf numFmtId="0" fontId="3" fillId="0" borderId="0" xfId="0" applyFont="1" applyFill="1" applyAlignment="1">
      <alignment vertical="center"/>
    </xf>
    <xf numFmtId="164" fontId="8" fillId="10" borderId="1" xfId="0" applyNumberFormat="1" applyFont="1" applyFill="1" applyBorder="1" applyAlignment="1">
      <alignment vertical="center"/>
    </xf>
    <xf numFmtId="0" fontId="3" fillId="6" borderId="0" xfId="0" applyFont="1" applyFill="1" applyAlignment="1">
      <alignment vertical="center"/>
    </xf>
    <xf numFmtId="9" fontId="0" fillId="0" borderId="0" xfId="3" applyFont="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165" fontId="3" fillId="0" borderId="1" xfId="2" applyNumberFormat="1" applyFont="1" applyBorder="1" applyAlignment="1">
      <alignment horizontal="center" vertical="center"/>
    </xf>
    <xf numFmtId="0" fontId="0" fillId="6" borderId="0" xfId="0" applyFill="1" applyAlignment="1">
      <alignment vertical="center"/>
    </xf>
    <xf numFmtId="9" fontId="0" fillId="0" borderId="0" xfId="3" applyFont="1" applyFill="1" applyAlignment="1">
      <alignment vertical="center"/>
    </xf>
    <xf numFmtId="0" fontId="3" fillId="0" borderId="0" xfId="0" applyFont="1" applyAlignment="1" applyProtection="1">
      <alignment vertical="center"/>
    </xf>
    <xf numFmtId="0" fontId="0" fillId="0" borderId="1" xfId="0" applyFill="1" applyBorder="1" applyAlignment="1">
      <alignment vertical="center" wrapText="1"/>
    </xf>
    <xf numFmtId="164" fontId="1" fillId="0" borderId="0" xfId="0" applyNumberFormat="1" applyFont="1" applyFill="1" applyBorder="1" applyAlignment="1">
      <alignment vertical="center"/>
    </xf>
    <xf numFmtId="165" fontId="1" fillId="0" borderId="0" xfId="0" applyNumberFormat="1" applyFont="1" applyFill="1" applyBorder="1" applyAlignment="1">
      <alignment horizontal="center" vertical="center"/>
    </xf>
    <xf numFmtId="1" fontId="5" fillId="0" borderId="1" xfId="0" applyNumberFormat="1" applyFont="1" applyFill="1" applyBorder="1" applyAlignment="1" applyProtection="1">
      <alignment vertical="center"/>
      <protection locked="0"/>
    </xf>
    <xf numFmtId="0" fontId="1" fillId="0" borderId="9" xfId="0" applyFont="1" applyBorder="1" applyAlignment="1">
      <alignment horizontal="left" vertical="center"/>
    </xf>
    <xf numFmtId="0" fontId="21" fillId="0" borderId="0" xfId="0" applyFont="1" applyFill="1" applyBorder="1" applyAlignment="1">
      <alignment horizontal="left" vertical="center"/>
    </xf>
    <xf numFmtId="1" fontId="24" fillId="0" borderId="0" xfId="0" applyNumberFormat="1" applyFont="1" applyBorder="1" applyAlignment="1">
      <alignment horizontal="center" vertical="center"/>
    </xf>
    <xf numFmtId="164" fontId="0" fillId="0" borderId="0" xfId="0" applyNumberFormat="1" applyFill="1" applyAlignment="1">
      <alignment vertical="center"/>
    </xf>
    <xf numFmtId="0" fontId="3" fillId="0" borderId="5" xfId="0" applyFont="1" applyFill="1" applyBorder="1" applyAlignment="1">
      <alignment vertical="center"/>
    </xf>
    <xf numFmtId="164" fontId="1" fillId="0" borderId="1" xfId="0" applyNumberFormat="1" applyFont="1" applyFill="1" applyBorder="1" applyAlignment="1" applyProtection="1">
      <alignment vertical="center"/>
      <protection locked="0"/>
    </xf>
    <xf numFmtId="0" fontId="5" fillId="0" borderId="3" xfId="0" applyNumberFormat="1" applyFont="1" applyFill="1" applyBorder="1" applyAlignment="1">
      <alignment horizontal="center" vertical="center"/>
    </xf>
    <xf numFmtId="0" fontId="1" fillId="0" borderId="0" xfId="0" applyFont="1" applyAlignment="1">
      <alignment horizontal="left" vertical="center"/>
    </xf>
    <xf numFmtId="0" fontId="0" fillId="0" borderId="1" xfId="0" applyBorder="1" applyAlignment="1">
      <alignment horizontal="center" vertical="center" wrapText="1"/>
    </xf>
    <xf numFmtId="0" fontId="0" fillId="12" borderId="1" xfId="0" applyFill="1" applyBorder="1" applyAlignment="1">
      <alignment horizontal="center"/>
    </xf>
    <xf numFmtId="0" fontId="0" fillId="12" borderId="1" xfId="0" applyFill="1" applyBorder="1"/>
    <xf numFmtId="0" fontId="0" fillId="0" borderId="3" xfId="0" applyBorder="1" applyAlignment="1">
      <alignment horizontal="center" vertical="center" wrapText="1"/>
    </xf>
    <xf numFmtId="0" fontId="0" fillId="0" borderId="26" xfId="0" applyBorder="1" applyAlignment="1">
      <alignment horizontal="center" vertical="center" wrapText="1"/>
    </xf>
    <xf numFmtId="164" fontId="0" fillId="0" borderId="3" xfId="0" applyNumberFormat="1" applyBorder="1" applyAlignment="1">
      <alignment horizontal="center"/>
    </xf>
    <xf numFmtId="0" fontId="0" fillId="0" borderId="26" xfId="0" applyBorder="1"/>
    <xf numFmtId="164" fontId="0" fillId="12" borderId="3" xfId="0" applyNumberFormat="1" applyFill="1" applyBorder="1" applyAlignment="1">
      <alignment horizontal="center"/>
    </xf>
    <xf numFmtId="0" fontId="0" fillId="12" borderId="26" xfId="0" applyFill="1" applyBorder="1"/>
    <xf numFmtId="2" fontId="3" fillId="6" borderId="1" xfId="0" applyNumberFormat="1" applyFont="1" applyFill="1" applyBorder="1"/>
    <xf numFmtId="0" fontId="28" fillId="0" borderId="20" xfId="0" applyFont="1" applyBorder="1" applyAlignment="1">
      <alignment horizontal="center"/>
    </xf>
    <xf numFmtId="0" fontId="28" fillId="0" borderId="20" xfId="0" applyFont="1" applyFill="1" applyBorder="1"/>
    <xf numFmtId="0" fontId="28" fillId="0" borderId="20" xfId="0" applyFont="1" applyBorder="1" applyAlignment="1">
      <alignment vertical="center"/>
    </xf>
    <xf numFmtId="0" fontId="28" fillId="0" borderId="20" xfId="0" applyFont="1" applyBorder="1" applyAlignment="1">
      <alignment horizontal="left" vertical="center"/>
    </xf>
    <xf numFmtId="168" fontId="24" fillId="0" borderId="20" xfId="0" applyNumberFormat="1" applyFont="1" applyBorder="1" applyAlignment="1">
      <alignment horizontal="center"/>
    </xf>
    <xf numFmtId="2" fontId="24" fillId="0" borderId="1" xfId="0" applyNumberFormat="1" applyFont="1" applyFill="1" applyBorder="1" applyAlignment="1">
      <alignment horizontal="center" wrapText="1"/>
    </xf>
    <xf numFmtId="168" fontId="5" fillId="6" borderId="1" xfId="0" applyNumberFormat="1" applyFont="1" applyFill="1" applyBorder="1" applyAlignment="1">
      <alignment horizontal="center"/>
    </xf>
    <xf numFmtId="1" fontId="5" fillId="6" borderId="1" xfId="0" applyNumberFormat="1" applyFont="1" applyFill="1" applyBorder="1" applyAlignment="1">
      <alignment horizontal="center"/>
    </xf>
    <xf numFmtId="164" fontId="5" fillId="6" borderId="1" xfId="0" applyNumberFormat="1" applyFont="1" applyFill="1" applyBorder="1" applyAlignment="1">
      <alignment horizontal="center"/>
    </xf>
    <xf numFmtId="0" fontId="0" fillId="0" borderId="13" xfId="0" applyBorder="1"/>
    <xf numFmtId="0" fontId="24" fillId="0" borderId="29" xfId="0" applyFont="1" applyFill="1" applyBorder="1" applyAlignment="1"/>
    <xf numFmtId="8" fontId="0" fillId="0" borderId="0" xfId="0" applyNumberFormat="1"/>
    <xf numFmtId="0" fontId="0" fillId="0" borderId="1" xfId="0" applyBorder="1" applyAlignment="1"/>
    <xf numFmtId="164" fontId="1" fillId="0" borderId="1" xfId="0" applyNumberFormat="1" applyFont="1" applyBorder="1" applyAlignment="1">
      <alignment horizontal="center"/>
    </xf>
    <xf numFmtId="0" fontId="3" fillId="0" borderId="1" xfId="0" applyFont="1" applyFill="1" applyBorder="1" applyAlignment="1"/>
    <xf numFmtId="0" fontId="2" fillId="0" borderId="1" xfId="0" applyFont="1" applyFill="1" applyBorder="1" applyAlignment="1">
      <alignment horizontal="center"/>
    </xf>
    <xf numFmtId="0" fontId="0" fillId="0" borderId="1" xfId="0" applyBorder="1" applyAlignment="1">
      <alignment horizontal="center"/>
    </xf>
    <xf numFmtId="2" fontId="1" fillId="0" borderId="1" xfId="0" applyNumberFormat="1" applyFont="1" applyFill="1" applyBorder="1" applyAlignment="1">
      <alignment horizontal="center"/>
    </xf>
    <xf numFmtId="0" fontId="2" fillId="0" borderId="1" xfId="0" applyFont="1" applyFill="1" applyBorder="1" applyAlignment="1">
      <alignment horizontal="center"/>
    </xf>
    <xf numFmtId="0" fontId="0" fillId="0" borderId="5" xfId="0" applyFill="1" applyBorder="1" applyAlignment="1"/>
    <xf numFmtId="0" fontId="0" fillId="0" borderId="11" xfId="0" applyFill="1" applyBorder="1" applyAlignment="1"/>
    <xf numFmtId="0" fontId="0" fillId="0" borderId="4" xfId="0" applyFill="1" applyBorder="1" applyAlignment="1"/>
    <xf numFmtId="0" fontId="0" fillId="0" borderId="3" xfId="0" applyFill="1" applyBorder="1" applyAlignment="1"/>
    <xf numFmtId="164" fontId="5" fillId="0" borderId="1" xfId="0" applyNumberFormat="1" applyFont="1" applyFill="1" applyBorder="1"/>
    <xf numFmtId="9" fontId="5" fillId="0" borderId="1" xfId="0" applyNumberFormat="1" applyFont="1" applyFill="1" applyBorder="1" applyAlignment="1">
      <alignment horizontal="center"/>
    </xf>
    <xf numFmtId="164" fontId="4" fillId="0" borderId="0" xfId="0" applyNumberFormat="1" applyFont="1" applyFill="1"/>
    <xf numFmtId="1" fontId="5" fillId="13" borderId="1" xfId="0" applyNumberFormat="1" applyFont="1" applyFill="1" applyBorder="1" applyAlignment="1">
      <alignment horizontal="center"/>
    </xf>
    <xf numFmtId="164" fontId="5" fillId="13" borderId="1" xfId="0" applyNumberFormat="1" applyFont="1" applyFill="1" applyBorder="1" applyAlignment="1">
      <alignment horizontal="center"/>
    </xf>
    <xf numFmtId="164" fontId="4" fillId="13" borderId="1" xfId="0" applyNumberFormat="1" applyFont="1" applyFill="1" applyBorder="1"/>
    <xf numFmtId="2" fontId="3" fillId="13" borderId="1" xfId="0" applyNumberFormat="1" applyFont="1" applyFill="1" applyBorder="1"/>
    <xf numFmtId="164" fontId="0" fillId="13" borderId="1" xfId="0" applyNumberFormat="1" applyFill="1" applyBorder="1"/>
    <xf numFmtId="4" fontId="3" fillId="13" borderId="1" xfId="0" applyNumberFormat="1" applyFont="1" applyFill="1" applyBorder="1"/>
    <xf numFmtId="0" fontId="0" fillId="13" borderId="1" xfId="0" applyFill="1" applyBorder="1"/>
    <xf numFmtId="164" fontId="0" fillId="13" borderId="0" xfId="0" applyNumberFormat="1" applyFill="1"/>
    <xf numFmtId="0" fontId="4" fillId="0" borderId="0" xfId="0" applyFont="1" applyFill="1"/>
    <xf numFmtId="1" fontId="4" fillId="0" borderId="0" xfId="0" applyNumberFormat="1" applyFont="1" applyFill="1"/>
    <xf numFmtId="0" fontId="1" fillId="0" borderId="0" xfId="0" applyFont="1" applyFill="1" applyAlignment="1">
      <alignment horizontal="center" wrapText="1"/>
    </xf>
    <xf numFmtId="164" fontId="5" fillId="8" borderId="1" xfId="0" applyNumberFormat="1" applyFont="1" applyFill="1" applyBorder="1" applyAlignment="1">
      <alignment horizontal="center"/>
    </xf>
    <xf numFmtId="0" fontId="0" fillId="0" borderId="0" xfId="0" applyProtection="1"/>
    <xf numFmtId="0" fontId="0" fillId="9" borderId="0" xfId="0" applyFill="1" applyProtection="1"/>
    <xf numFmtId="0" fontId="3" fillId="9" borderId="0" xfId="0" applyFont="1" applyFill="1" applyProtection="1"/>
    <xf numFmtId="0" fontId="0" fillId="0" borderId="0" xfId="0" applyFill="1" applyProtection="1"/>
    <xf numFmtId="0" fontId="3" fillId="0" borderId="0" xfId="0" applyFont="1" applyFill="1" applyProtection="1"/>
    <xf numFmtId="0" fontId="4" fillId="0" borderId="0" xfId="0" applyFont="1" applyProtection="1"/>
    <xf numFmtId="0" fontId="2" fillId="0" borderId="0" xfId="0" applyFont="1" applyBorder="1" applyAlignment="1" applyProtection="1">
      <alignment vertical="center"/>
    </xf>
    <xf numFmtId="0" fontId="0" fillId="0" borderId="0" xfId="0" applyAlignment="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wrapText="1"/>
    </xf>
    <xf numFmtId="0" fontId="1" fillId="0" borderId="1" xfId="0" applyFont="1" applyFill="1" applyBorder="1" applyAlignment="1" applyProtection="1">
      <alignment vertical="center"/>
    </xf>
    <xf numFmtId="0" fontId="1" fillId="0" borderId="2" xfId="0" applyFont="1" applyFill="1" applyBorder="1" applyAlignment="1" applyProtection="1">
      <alignment vertical="center"/>
    </xf>
    <xf numFmtId="0" fontId="0" fillId="0" borderId="1" xfId="0" applyFill="1" applyBorder="1" applyAlignment="1" applyProtection="1">
      <alignment vertical="center"/>
    </xf>
    <xf numFmtId="164" fontId="5" fillId="0" borderId="1" xfId="0" applyNumberFormat="1" applyFont="1" applyFill="1" applyBorder="1" applyAlignment="1" applyProtection="1">
      <alignment vertical="center"/>
    </xf>
    <xf numFmtId="164" fontId="0" fillId="0" borderId="1" xfId="0" applyNumberFormat="1" applyFill="1" applyBorder="1" applyAlignment="1" applyProtection="1">
      <alignment vertical="center"/>
    </xf>
    <xf numFmtId="164" fontId="3" fillId="0" borderId="1" xfId="0" applyNumberFormat="1" applyFont="1" applyFill="1" applyBorder="1" applyAlignment="1" applyProtection="1">
      <alignment vertical="center"/>
    </xf>
    <xf numFmtId="164" fontId="9" fillId="0" borderId="1" xfId="0" applyNumberFormat="1" applyFont="1" applyFill="1" applyBorder="1" applyAlignment="1" applyProtection="1">
      <alignment vertical="center"/>
    </xf>
    <xf numFmtId="164" fontId="1" fillId="0" borderId="1" xfId="0" applyNumberFormat="1" applyFont="1" applyFill="1" applyBorder="1" applyAlignment="1" applyProtection="1">
      <alignmen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164" fontId="0" fillId="0" borderId="0" xfId="0" applyNumberFormat="1" applyBorder="1" applyAlignment="1" applyProtection="1">
      <alignment vertical="center"/>
    </xf>
    <xf numFmtId="0" fontId="3" fillId="0" borderId="1" xfId="0" applyFont="1" applyFill="1" applyBorder="1" applyAlignment="1" applyProtection="1">
      <alignmen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164" fontId="3" fillId="0" borderId="1" xfId="0" applyNumberFormat="1" applyFont="1" applyBorder="1" applyAlignment="1" applyProtection="1">
      <alignment horizontal="center" vertical="center"/>
    </xf>
    <xf numFmtId="1" fontId="3" fillId="0" borderId="1"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3" xfId="0" applyBorder="1" applyAlignment="1" applyProtection="1">
      <alignment horizontal="center" vertical="center"/>
    </xf>
    <xf numFmtId="164" fontId="3" fillId="0" borderId="1"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xf>
    <xf numFmtId="0" fontId="1" fillId="0" borderId="0" xfId="0" applyFont="1" applyBorder="1" applyAlignment="1" applyProtection="1">
      <alignment horizontal="center" vertical="center"/>
    </xf>
    <xf numFmtId="164" fontId="5" fillId="0" borderId="2" xfId="0" applyNumberFormat="1" applyFont="1" applyFill="1" applyBorder="1" applyAlignment="1" applyProtection="1">
      <alignment vertical="center"/>
    </xf>
    <xf numFmtId="164" fontId="5" fillId="0" borderId="3" xfId="0" applyNumberFormat="1" applyFont="1" applyFill="1" applyBorder="1" applyAlignment="1" applyProtection="1">
      <alignment vertical="center"/>
    </xf>
    <xf numFmtId="165" fontId="24" fillId="0" borderId="0" xfId="0" applyNumberFormat="1" applyFont="1" applyFill="1" applyBorder="1" applyAlignment="1" applyProtection="1">
      <alignment horizontal="center" vertical="center"/>
    </xf>
    <xf numFmtId="1" fontId="24" fillId="0" borderId="0" xfId="0" applyNumberFormat="1" applyFont="1" applyFill="1" applyBorder="1" applyAlignment="1" applyProtection="1">
      <alignment horizontal="center" vertical="center"/>
    </xf>
    <xf numFmtId="0" fontId="3"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xf>
    <xf numFmtId="0" fontId="0" fillId="8" borderId="1" xfId="0" applyFill="1" applyBorder="1" applyAlignment="1" applyProtection="1">
      <alignment vertical="center"/>
    </xf>
    <xf numFmtId="164" fontId="0" fillId="8" borderId="3" xfId="0" applyNumberFormat="1" applyFill="1" applyBorder="1" applyAlignment="1" applyProtection="1">
      <alignment vertical="center"/>
    </xf>
    <xf numFmtId="164" fontId="3" fillId="0" borderId="0" xfId="0" applyNumberFormat="1" applyFont="1" applyFill="1" applyBorder="1" applyAlignment="1" applyProtection="1">
      <alignment vertical="center"/>
    </xf>
    <xf numFmtId="164" fontId="0" fillId="0" borderId="0" xfId="0" applyNumberFormat="1" applyFill="1" applyBorder="1" applyAlignment="1" applyProtection="1">
      <alignment vertical="center"/>
    </xf>
    <xf numFmtId="164" fontId="0" fillId="0" borderId="0" xfId="0" applyNumberFormat="1" applyAlignment="1" applyProtection="1">
      <alignment vertical="center"/>
    </xf>
    <xf numFmtId="0" fontId="0" fillId="0" borderId="5" xfId="0" applyFill="1" applyBorder="1" applyAlignment="1" applyProtection="1">
      <alignment vertical="center"/>
    </xf>
    <xf numFmtId="0" fontId="0" fillId="0" borderId="3" xfId="0" applyFill="1" applyBorder="1" applyAlignment="1" applyProtection="1">
      <alignment vertical="center"/>
    </xf>
    <xf numFmtId="0" fontId="21" fillId="0" borderId="0" xfId="0" applyFont="1" applyFill="1" applyAlignment="1" applyProtection="1">
      <alignment vertical="center"/>
    </xf>
    <xf numFmtId="0" fontId="0" fillId="0" borderId="2" xfId="0" applyFill="1" applyBorder="1" applyAlignment="1" applyProtection="1">
      <alignment vertical="center"/>
    </xf>
    <xf numFmtId="164" fontId="1" fillId="0" borderId="2" xfId="0" applyNumberFormat="1" applyFont="1" applyFill="1" applyBorder="1" applyAlignment="1" applyProtection="1">
      <alignment horizontal="right" vertical="center"/>
    </xf>
    <xf numFmtId="164" fontId="21" fillId="0" borderId="0" xfId="0" applyNumberFormat="1" applyFont="1" applyFill="1" applyBorder="1" applyAlignment="1" applyProtection="1">
      <alignment vertical="center"/>
    </xf>
    <xf numFmtId="164" fontId="1" fillId="0" borderId="1" xfId="0" applyNumberFormat="1" applyFont="1" applyFill="1" applyBorder="1" applyAlignment="1" applyProtection="1">
      <alignment horizontal="center" vertical="center"/>
    </xf>
    <xf numFmtId="169" fontId="0" fillId="0" borderId="0" xfId="0" applyNumberFormat="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21" fillId="0" borderId="0" xfId="0" applyFont="1" applyAlignme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left" vertical="center"/>
    </xf>
    <xf numFmtId="165" fontId="0" fillId="0" borderId="1" xfId="0" applyNumberFormat="1" applyFill="1" applyBorder="1" applyAlignment="1" applyProtection="1">
      <alignment vertical="center"/>
    </xf>
    <xf numFmtId="165" fontId="8" fillId="10" borderId="1" xfId="0" applyNumberFormat="1" applyFont="1" applyFill="1" applyBorder="1" applyAlignment="1" applyProtection="1">
      <alignment vertical="center"/>
    </xf>
    <xf numFmtId="164" fontId="0" fillId="8" borderId="1" xfId="0" applyNumberFormat="1" applyFill="1" applyBorder="1" applyAlignment="1" applyProtection="1">
      <alignment vertical="center"/>
    </xf>
    <xf numFmtId="1" fontId="8" fillId="10" borderId="1" xfId="0" applyNumberFormat="1" applyFont="1" applyFill="1" applyBorder="1" applyAlignment="1" applyProtection="1">
      <alignment vertical="center"/>
    </xf>
    <xf numFmtId="0" fontId="3" fillId="0" borderId="0" xfId="0" applyFont="1" applyFill="1" applyAlignment="1" applyProtection="1">
      <alignment vertical="center"/>
    </xf>
    <xf numFmtId="164" fontId="8" fillId="10" borderId="1" xfId="0" applyNumberFormat="1" applyFont="1" applyFill="1" applyBorder="1" applyAlignment="1" applyProtection="1">
      <alignment vertical="center"/>
    </xf>
    <xf numFmtId="0" fontId="3" fillId="6" borderId="0" xfId="0" applyFont="1" applyFill="1" applyAlignment="1" applyProtection="1">
      <alignment vertical="center"/>
    </xf>
    <xf numFmtId="0" fontId="1" fillId="0" borderId="1" xfId="0" applyFont="1" applyBorder="1" applyAlignment="1" applyProtection="1">
      <alignment horizontal="center" vertical="center" wrapText="1"/>
    </xf>
    <xf numFmtId="9" fontId="0" fillId="0" borderId="0" xfId="3" applyFont="1" applyAlignment="1" applyProtection="1">
      <alignment vertical="center"/>
    </xf>
    <xf numFmtId="0" fontId="1" fillId="0" borderId="1" xfId="0" applyFont="1" applyBorder="1" applyAlignment="1" applyProtection="1">
      <alignment horizontal="left" vertical="center"/>
    </xf>
    <xf numFmtId="0" fontId="3"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65" fontId="3" fillId="0" borderId="1" xfId="2" applyNumberFormat="1" applyFont="1" applyBorder="1" applyAlignment="1" applyProtection="1">
      <alignment horizontal="center" vertical="center"/>
    </xf>
    <xf numFmtId="0" fontId="0" fillId="6" borderId="0" xfId="0" applyFill="1" applyAlignment="1" applyProtection="1">
      <alignment vertical="center"/>
    </xf>
    <xf numFmtId="9" fontId="0" fillId="0" borderId="0" xfId="3" applyFont="1" applyFill="1" applyAlignment="1" applyProtection="1">
      <alignment vertical="center"/>
    </xf>
    <xf numFmtId="0" fontId="3" fillId="0" borderId="0" xfId="0" applyFont="1" applyAlignment="1" applyProtection="1">
      <alignmen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28" fillId="0" borderId="20" xfId="0" applyFont="1" applyFill="1" applyBorder="1" applyAlignment="1" applyProtection="1">
      <alignment vertical="center"/>
      <protection locked="0"/>
    </xf>
    <xf numFmtId="165" fontId="24" fillId="0" borderId="1" xfId="0" applyNumberFormat="1" applyFont="1" applyBorder="1" applyAlignment="1" applyProtection="1">
      <alignment horizontal="center" vertical="center"/>
      <protection locked="0"/>
    </xf>
    <xf numFmtId="1" fontId="24" fillId="0" borderId="1" xfId="0" applyNumberFormat="1" applyFont="1" applyBorder="1" applyAlignment="1" applyProtection="1">
      <alignment horizontal="center" vertical="center"/>
      <protection locked="0"/>
    </xf>
    <xf numFmtId="0" fontId="28" fillId="0" borderId="20" xfId="0" applyFont="1" applyFill="1" applyBorder="1" applyAlignment="1" applyProtection="1">
      <alignment horizontal="right" vertical="center"/>
      <protection locked="0"/>
    </xf>
    <xf numFmtId="0" fontId="7" fillId="0" borderId="0" xfId="0" applyFont="1" applyBorder="1" applyAlignment="1" applyProtection="1"/>
    <xf numFmtId="0" fontId="3" fillId="0" borderId="0" xfId="0" applyFont="1" applyProtection="1"/>
    <xf numFmtId="0" fontId="3" fillId="0" borderId="2" xfId="0" applyFont="1" applyBorder="1" applyProtection="1"/>
    <xf numFmtId="0" fontId="3" fillId="0" borderId="5" xfId="0" applyFont="1" applyFill="1" applyBorder="1" applyProtection="1"/>
    <xf numFmtId="0" fontId="1" fillId="0" borderId="28" xfId="0" applyFont="1" applyFill="1" applyBorder="1" applyAlignment="1" applyProtection="1">
      <alignment horizontal="center" wrapText="1"/>
    </xf>
    <xf numFmtId="0" fontId="1" fillId="0" borderId="1" xfId="0" applyFont="1" applyFill="1" applyBorder="1" applyAlignment="1" applyProtection="1">
      <alignment horizontal="center" wrapText="1"/>
    </xf>
    <xf numFmtId="0" fontId="3" fillId="0" borderId="5" xfId="0" applyFont="1" applyBorder="1" applyAlignment="1" applyProtection="1">
      <alignment horizontal="left" vertical="center"/>
    </xf>
    <xf numFmtId="0" fontId="3" fillId="0" borderId="6" xfId="0" applyFont="1" applyBorder="1" applyProtection="1"/>
    <xf numFmtId="0" fontId="3" fillId="0" borderId="0" xfId="0" applyFont="1" applyBorder="1" applyAlignment="1" applyProtection="1"/>
    <xf numFmtId="0" fontId="3" fillId="0" borderId="13" xfId="0" applyFont="1" applyBorder="1" applyProtection="1"/>
    <xf numFmtId="0" fontId="3" fillId="0" borderId="11" xfId="0" applyFont="1" applyBorder="1" applyAlignment="1" applyProtection="1">
      <alignment horizontal="left" vertical="center"/>
    </xf>
    <xf numFmtId="0" fontId="3" fillId="0" borderId="4" xfId="0" applyFont="1" applyBorder="1" applyProtection="1"/>
    <xf numFmtId="0" fontId="3" fillId="0" borderId="12" xfId="0" applyFont="1" applyBorder="1" applyAlignment="1" applyProtection="1"/>
    <xf numFmtId="0" fontId="3" fillId="0" borderId="3" xfId="0" applyFont="1" applyBorder="1" applyProtection="1"/>
    <xf numFmtId="0" fontId="3" fillId="0" borderId="0" xfId="0" applyFont="1" applyFill="1" applyBorder="1" applyAlignment="1" applyProtection="1">
      <alignment horizontal="left"/>
    </xf>
    <xf numFmtId="0" fontId="2" fillId="0" borderId="1" xfId="0" applyFont="1" applyBorder="1" applyProtection="1"/>
    <xf numFmtId="0" fontId="2" fillId="0" borderId="16" xfId="0" applyFont="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68" fontId="1" fillId="0" borderId="1" xfId="0" applyNumberFormat="1"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64" fontId="3" fillId="0" borderId="1" xfId="0" applyNumberFormat="1" applyFont="1" applyFill="1" applyBorder="1" applyAlignment="1" applyProtection="1">
      <alignment horizontal="right" vertical="center" indent="3"/>
    </xf>
    <xf numFmtId="164" fontId="3" fillId="0" borderId="1" xfId="0" applyNumberFormat="1" applyFont="1" applyFill="1" applyBorder="1" applyAlignment="1" applyProtection="1">
      <alignment horizontal="right" vertical="center" indent="4"/>
    </xf>
    <xf numFmtId="164" fontId="1" fillId="0" borderId="1" xfId="0" applyNumberFormat="1" applyFont="1" applyFill="1" applyBorder="1" applyAlignment="1" applyProtection="1">
      <alignment horizontal="right" vertical="center" indent="1"/>
    </xf>
    <xf numFmtId="0" fontId="3" fillId="0" borderId="4" xfId="0" applyFont="1" applyFill="1" applyBorder="1" applyProtection="1"/>
    <xf numFmtId="168" fontId="1" fillId="0" borderId="3" xfId="0" applyNumberFormat="1" applyFont="1" applyFill="1" applyBorder="1" applyAlignment="1" applyProtection="1">
      <alignment horizontal="center" vertical="center"/>
    </xf>
    <xf numFmtId="164" fontId="3" fillId="0" borderId="1" xfId="0" applyNumberFormat="1" applyFont="1" applyFill="1" applyBorder="1" applyAlignment="1" applyProtection="1">
      <alignment horizontal="right" indent="3"/>
    </xf>
    <xf numFmtId="164" fontId="3" fillId="0" borderId="1" xfId="0" applyNumberFormat="1" applyFont="1" applyFill="1" applyBorder="1" applyAlignment="1" applyProtection="1">
      <alignment horizontal="right" indent="4"/>
    </xf>
    <xf numFmtId="0" fontId="21" fillId="0" borderId="0" xfId="0" applyFont="1" applyProtection="1"/>
    <xf numFmtId="0" fontId="3" fillId="0" borderId="3" xfId="0" applyFont="1" applyFill="1" applyBorder="1" applyProtection="1"/>
    <xf numFmtId="168" fontId="1" fillId="0" borderId="4" xfId="0" applyNumberFormat="1" applyFont="1" applyFill="1" applyBorder="1" applyAlignment="1" applyProtection="1">
      <alignment horizontal="center" vertical="center"/>
    </xf>
    <xf numFmtId="0" fontId="24" fillId="0" borderId="16" xfId="0" applyFont="1" applyFill="1" applyBorder="1" applyProtection="1"/>
    <xf numFmtId="2" fontId="1" fillId="0" borderId="4" xfId="0" applyNumberFormat="1" applyFont="1" applyFill="1" applyBorder="1" applyAlignment="1" applyProtection="1">
      <alignment horizontal="center"/>
    </xf>
    <xf numFmtId="0" fontId="3" fillId="0" borderId="2" xfId="0" applyFont="1" applyFill="1" applyBorder="1" applyProtection="1"/>
    <xf numFmtId="164" fontId="1" fillId="0" borderId="1" xfId="0" applyNumberFormat="1" applyFont="1" applyFill="1" applyBorder="1" applyAlignment="1" applyProtection="1">
      <alignment horizontal="right" indent="1"/>
    </xf>
    <xf numFmtId="2" fontId="1" fillId="0" borderId="1" xfId="0" applyNumberFormat="1" applyFont="1" applyFill="1" applyBorder="1" applyAlignment="1" applyProtection="1">
      <alignment horizontal="center"/>
    </xf>
    <xf numFmtId="164" fontId="1" fillId="0" borderId="1" xfId="0" applyNumberFormat="1" applyFont="1" applyFill="1" applyBorder="1" applyAlignment="1" applyProtection="1">
      <alignment horizontal="right" vertical="center" indent="3"/>
    </xf>
    <xf numFmtId="164" fontId="1" fillId="0" borderId="1" xfId="0" applyNumberFormat="1" applyFont="1" applyFill="1" applyBorder="1" applyAlignment="1" applyProtection="1">
      <alignment horizontal="right" vertical="center" indent="4"/>
    </xf>
    <xf numFmtId="0" fontId="1" fillId="0" borderId="0" xfId="0" applyFont="1" applyFill="1" applyBorder="1" applyProtection="1"/>
    <xf numFmtId="0" fontId="23" fillId="0" borderId="0" xfId="0" applyFont="1" applyFill="1" applyBorder="1" applyAlignment="1" applyProtection="1">
      <alignment horizontal="center"/>
    </xf>
    <xf numFmtId="164" fontId="1" fillId="0" borderId="0" xfId="0" applyNumberFormat="1" applyFont="1" applyFill="1" applyBorder="1" applyAlignment="1" applyProtection="1">
      <alignment horizontal="center"/>
    </xf>
    <xf numFmtId="0" fontId="23" fillId="0" borderId="0" xfId="0" applyFont="1" applyFill="1" applyBorder="1" applyAlignment="1" applyProtection="1">
      <alignment horizontal="left"/>
    </xf>
    <xf numFmtId="0" fontId="2"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right"/>
    </xf>
    <xf numFmtId="0" fontId="3" fillId="0" borderId="0" xfId="0" applyFont="1" applyFill="1" applyAlignment="1" applyProtection="1">
      <alignment horizontal="center"/>
    </xf>
    <xf numFmtId="0" fontId="3" fillId="0" borderId="0" xfId="0" applyFont="1" applyFill="1" applyAlignment="1" applyProtection="1">
      <alignment horizontal="right"/>
    </xf>
    <xf numFmtId="0" fontId="2" fillId="0" borderId="0" xfId="0"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Fill="1" applyBorder="1" applyAlignment="1" applyProtection="1">
      <alignment horizontal="center"/>
    </xf>
    <xf numFmtId="168" fontId="3" fillId="0" borderId="0" xfId="0" applyNumberFormat="1" applyFont="1" applyFill="1" applyBorder="1" applyAlignment="1" applyProtection="1">
      <alignment horizontal="center"/>
    </xf>
    <xf numFmtId="2" fontId="24" fillId="0" borderId="28" xfId="0" applyNumberFormat="1" applyFont="1" applyFill="1" applyBorder="1" applyAlignment="1" applyProtection="1">
      <alignment horizontal="center" wrapText="1"/>
      <protection locked="0"/>
    </xf>
    <xf numFmtId="2" fontId="24" fillId="0" borderId="1" xfId="0" applyNumberFormat="1" applyFont="1" applyFill="1" applyBorder="1" applyAlignment="1" applyProtection="1">
      <alignment horizontal="center" wrapText="1"/>
      <protection locked="0"/>
    </xf>
    <xf numFmtId="168" fontId="24" fillId="0" borderId="5" xfId="0" applyNumberFormat="1" applyFont="1" applyFill="1" applyBorder="1" applyAlignment="1" applyProtection="1">
      <alignment horizontal="center" vertical="center"/>
      <protection locked="0"/>
    </xf>
    <xf numFmtId="168" fontId="24" fillId="0" borderId="20" xfId="0" applyNumberFormat="1" applyFont="1" applyFill="1" applyBorder="1" applyAlignment="1" applyProtection="1">
      <alignment horizontal="center" vertical="center"/>
      <protection locked="0"/>
    </xf>
    <xf numFmtId="168" fontId="24" fillId="0" borderId="2"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8" fillId="0" borderId="20" xfId="0" applyFont="1" applyBorder="1" applyAlignment="1" applyProtection="1">
      <alignment horizontal="center"/>
      <protection locked="0"/>
    </xf>
    <xf numFmtId="9" fontId="24" fillId="0" borderId="16" xfId="3" applyFont="1" applyBorder="1" applyAlignment="1" applyProtection="1">
      <alignment horizontal="center"/>
      <protection locked="0"/>
    </xf>
    <xf numFmtId="0" fontId="28" fillId="0" borderId="20" xfId="0" applyFont="1" applyFill="1" applyBorder="1" applyProtection="1">
      <protection locked="0"/>
    </xf>
    <xf numFmtId="0" fontId="0" fillId="0" borderId="1" xfId="0" applyBorder="1" applyAlignment="1" applyProtection="1">
      <alignment horizontal="center"/>
    </xf>
    <xf numFmtId="0" fontId="2" fillId="0" borderId="1" xfId="0" applyFont="1" applyBorder="1" applyAlignment="1" applyProtection="1">
      <alignment horizontal="center"/>
    </xf>
    <xf numFmtId="0" fontId="0" fillId="0" borderId="1" xfId="0" applyFill="1" applyBorder="1" applyProtection="1"/>
    <xf numFmtId="9" fontId="1" fillId="0" borderId="1" xfId="3" applyNumberFormat="1" applyFont="1" applyFill="1" applyBorder="1" applyAlignment="1" applyProtection="1">
      <alignment horizontal="center"/>
    </xf>
    <xf numFmtId="0" fontId="24" fillId="0" borderId="1" xfId="0" applyFont="1" applyFill="1" applyBorder="1" applyAlignment="1" applyProtection="1">
      <alignment horizontal="center"/>
    </xf>
    <xf numFmtId="9" fontId="24" fillId="0" borderId="1" xfId="3" applyFont="1" applyFill="1" applyBorder="1" applyAlignment="1" applyProtection="1">
      <alignment horizontal="center"/>
    </xf>
    <xf numFmtId="164" fontId="1" fillId="0" borderId="1" xfId="0" applyNumberFormat="1" applyFont="1" applyFill="1" applyBorder="1" applyAlignment="1" applyProtection="1">
      <alignment horizontal="center"/>
    </xf>
    <xf numFmtId="0" fontId="0" fillId="0" borderId="0" xfId="0" applyFill="1" applyBorder="1" applyProtection="1"/>
    <xf numFmtId="0" fontId="0" fillId="0" borderId="0" xfId="0" applyBorder="1" applyProtection="1"/>
    <xf numFmtId="0" fontId="0" fillId="0" borderId="0" xfId="0" applyBorder="1" applyAlignment="1" applyProtection="1">
      <alignment horizontal="left"/>
    </xf>
    <xf numFmtId="0" fontId="0" fillId="0" borderId="2" xfId="0" applyFill="1" applyBorder="1" applyProtection="1"/>
    <xf numFmtId="0" fontId="0" fillId="0" borderId="1" xfId="0" applyFill="1" applyBorder="1" applyAlignment="1" applyProtection="1">
      <alignment horizontal="center"/>
    </xf>
    <xf numFmtId="0" fontId="3" fillId="0" borderId="1" xfId="0" applyFont="1" applyBorder="1" applyAlignment="1" applyProtection="1">
      <alignment horizontal="center"/>
    </xf>
    <xf numFmtId="0" fontId="26" fillId="0" borderId="0" xfId="0" applyFont="1" applyFill="1" applyProtection="1"/>
    <xf numFmtId="0" fontId="1" fillId="0" borderId="0" xfId="0" applyFont="1" applyFill="1" applyProtection="1"/>
    <xf numFmtId="168" fontId="24" fillId="0" borderId="1" xfId="0" applyNumberFormat="1" applyFont="1" applyFill="1" applyBorder="1" applyAlignment="1" applyProtection="1">
      <alignment horizontal="center"/>
      <protection locked="0"/>
    </xf>
    <xf numFmtId="166" fontId="24" fillId="0" borderId="1" xfId="3" applyNumberFormat="1" applyFont="1" applyFill="1" applyBorder="1" applyAlignment="1" applyProtection="1">
      <alignment horizontal="center"/>
      <protection locked="0"/>
    </xf>
    <xf numFmtId="164" fontId="24" fillId="0" borderId="1" xfId="0" applyNumberFormat="1" applyFont="1" applyFill="1" applyBorder="1" applyAlignment="1" applyProtection="1">
      <alignment horizontal="center"/>
      <protection locked="0"/>
    </xf>
    <xf numFmtId="2" fontId="0" fillId="0" borderId="0" xfId="0" applyNumberFormat="1" applyProtection="1"/>
    <xf numFmtId="0" fontId="1" fillId="0" borderId="1" xfId="0" applyFont="1" applyBorder="1" applyAlignment="1" applyProtection="1">
      <alignment horizontal="left"/>
    </xf>
    <xf numFmtId="0" fontId="0" fillId="0" borderId="1" xfId="0" applyBorder="1" applyProtection="1"/>
    <xf numFmtId="2" fontId="4" fillId="0" borderId="0" xfId="0" applyNumberFormat="1" applyFont="1" applyProtection="1"/>
    <xf numFmtId="171" fontId="3" fillId="0" borderId="0" xfId="0" applyNumberFormat="1" applyFont="1" applyProtection="1"/>
    <xf numFmtId="8" fontId="0" fillId="0" borderId="0" xfId="0" applyNumberFormat="1" applyProtection="1"/>
    <xf numFmtId="0" fontId="1" fillId="0" borderId="1" xfId="0" applyFont="1" applyBorder="1" applyAlignment="1" applyProtection="1"/>
    <xf numFmtId="1" fontId="7" fillId="9" borderId="2" xfId="0" applyNumberFormat="1" applyFont="1" applyFill="1" applyBorder="1" applyAlignment="1" applyProtection="1"/>
    <xf numFmtId="1" fontId="3" fillId="9" borderId="26" xfId="0" applyNumberFormat="1" applyFont="1" applyFill="1" applyBorder="1" applyProtection="1"/>
    <xf numFmtId="1" fontId="7" fillId="9" borderId="3" xfId="0" applyNumberFormat="1" applyFont="1" applyFill="1" applyBorder="1" applyProtection="1"/>
    <xf numFmtId="1" fontId="3" fillId="9" borderId="1" xfId="0" applyNumberFormat="1" applyFont="1" applyFill="1" applyBorder="1" applyProtection="1"/>
    <xf numFmtId="0" fontId="21" fillId="0" borderId="0" xfId="0" applyFont="1" applyFill="1" applyBorder="1" applyAlignment="1" applyProtection="1">
      <alignment horizontal="left"/>
    </xf>
    <xf numFmtId="164" fontId="7" fillId="9" borderId="2" xfId="0" applyNumberFormat="1" applyFont="1" applyFill="1" applyBorder="1" applyAlignment="1" applyProtection="1"/>
    <xf numFmtId="164" fontId="3" fillId="9" borderId="2" xfId="0" applyNumberFormat="1" applyFont="1" applyFill="1" applyBorder="1" applyProtection="1"/>
    <xf numFmtId="164" fontId="7" fillId="9" borderId="30" xfId="0" applyNumberFormat="1" applyFont="1" applyFill="1" applyBorder="1" applyProtection="1"/>
    <xf numFmtId="164" fontId="3" fillId="9" borderId="1" xfId="0" applyNumberFormat="1" applyFont="1" applyFill="1" applyBorder="1" applyProtection="1"/>
    <xf numFmtId="0" fontId="0" fillId="0" borderId="0" xfId="0" applyAlignment="1" applyProtection="1">
      <alignment wrapText="1"/>
    </xf>
    <xf numFmtId="0" fontId="9" fillId="0" borderId="0" xfId="0" applyFont="1" applyAlignment="1" applyProtection="1">
      <alignment wrapText="1"/>
    </xf>
    <xf numFmtId="0" fontId="0" fillId="0" borderId="0" xfId="0" applyFill="1" applyBorder="1" applyAlignment="1" applyProtection="1">
      <alignment wrapText="1"/>
    </xf>
    <xf numFmtId="0" fontId="7" fillId="0" borderId="0" xfId="0" applyNumberFormat="1" applyFont="1" applyFill="1" applyBorder="1" applyAlignment="1" applyProtection="1">
      <alignment horizontal="right"/>
    </xf>
    <xf numFmtId="164" fontId="7" fillId="0" borderId="0" xfId="0" applyNumberFormat="1" applyFont="1" applyFill="1" applyBorder="1" applyAlignment="1" applyProtection="1">
      <alignment horizontal="right"/>
    </xf>
    <xf numFmtId="0" fontId="1" fillId="9" borderId="1" xfId="0" applyFont="1" applyFill="1" applyBorder="1" applyAlignment="1" applyProtection="1">
      <alignment horizontal="center" vertical="center" wrapText="1"/>
    </xf>
    <xf numFmtId="0" fontId="0" fillId="0" borderId="0" xfId="0" applyAlignment="1" applyProtection="1">
      <alignment wrapText="1"/>
    </xf>
    <xf numFmtId="0" fontId="0" fillId="0" borderId="0" xfId="0" applyBorder="1" applyAlignment="1" applyProtection="1">
      <alignment wrapText="1"/>
    </xf>
    <xf numFmtId="0" fontId="12" fillId="9" borderId="1"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0" xfId="0" applyFont="1" applyBorder="1" applyAlignment="1" applyProtection="1">
      <alignment wrapText="1"/>
    </xf>
    <xf numFmtId="0" fontId="14" fillId="0" borderId="0" xfId="0" applyFont="1" applyBorder="1" applyAlignment="1" applyProtection="1">
      <alignment wrapText="1"/>
    </xf>
    <xf numFmtId="0" fontId="12" fillId="9" borderId="0" xfId="0" applyFont="1" applyFill="1" applyBorder="1" applyAlignment="1" applyProtection="1">
      <alignment horizontal="center" vertical="center" wrapText="1"/>
    </xf>
    <xf numFmtId="0" fontId="0" fillId="0" borderId="0" xfId="0" applyAlignment="1" applyProtection="1">
      <alignment horizontal="center"/>
    </xf>
    <xf numFmtId="0" fontId="4" fillId="9" borderId="0" xfId="0" applyFont="1" applyFill="1" applyAlignment="1" applyProtection="1">
      <alignment horizontal="center"/>
    </xf>
    <xf numFmtId="0" fontId="4" fillId="0" borderId="0" xfId="0" applyFont="1" applyAlignment="1" applyProtection="1">
      <alignment horizontal="center"/>
    </xf>
    <xf numFmtId="0" fontId="1" fillId="9" borderId="1" xfId="0" applyFont="1" applyFill="1" applyBorder="1" applyAlignment="1" applyProtection="1">
      <alignment horizontal="center" vertical="center" wrapText="1"/>
    </xf>
    <xf numFmtId="0" fontId="1" fillId="9" borderId="5" xfId="0" applyFont="1" applyFill="1" applyBorder="1" applyAlignment="1" applyProtection="1">
      <alignment horizontal="center" vertical="center" wrapText="1"/>
    </xf>
    <xf numFmtId="0" fontId="1" fillId="9" borderId="6" xfId="0" applyFont="1" applyFill="1" applyBorder="1" applyAlignment="1" applyProtection="1">
      <alignment horizontal="center" vertical="center" wrapText="1"/>
    </xf>
    <xf numFmtId="0" fontId="1" fillId="9" borderId="7" xfId="0" applyFont="1" applyFill="1" applyBorder="1" applyAlignment="1" applyProtection="1">
      <alignment horizontal="center" vertical="center" wrapText="1"/>
    </xf>
    <xf numFmtId="0" fontId="1" fillId="9" borderId="1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164" fontId="5" fillId="0" borderId="1" xfId="0" applyNumberFormat="1" applyFont="1" applyFill="1" applyBorder="1" applyAlignment="1" applyProtection="1">
      <alignment vertical="center"/>
    </xf>
    <xf numFmtId="164" fontId="5" fillId="0" borderId="2" xfId="0" applyNumberFormat="1" applyFont="1" applyFill="1" applyBorder="1" applyAlignment="1" applyProtection="1">
      <alignment horizontal="center" vertical="center"/>
    </xf>
    <xf numFmtId="164" fontId="5" fillId="0" borderId="3" xfId="0" applyNumberFormat="1" applyFont="1" applyFill="1" applyBorder="1" applyAlignment="1" applyProtection="1">
      <alignment horizontal="center" vertical="center"/>
    </xf>
    <xf numFmtId="0" fontId="0" fillId="0" borderId="2"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8" xfId="0" applyFill="1" applyBorder="1" applyAlignment="1" applyProtection="1">
      <alignment horizontal="left" vertical="center"/>
    </xf>
    <xf numFmtId="164" fontId="1" fillId="0" borderId="2" xfId="0" applyNumberFormat="1" applyFont="1" applyFill="1" applyBorder="1" applyAlignment="1" applyProtection="1">
      <alignment horizontal="center" vertical="center"/>
    </xf>
    <xf numFmtId="164" fontId="1" fillId="0" borderId="3" xfId="0" applyNumberFormat="1" applyFont="1" applyFill="1" applyBorder="1" applyAlignment="1" applyProtection="1">
      <alignment horizontal="center" vertical="center"/>
    </xf>
    <xf numFmtId="164" fontId="5" fillId="0" borderId="1" xfId="0" applyNumberFormat="1" applyFont="1" applyFill="1" applyBorder="1" applyAlignment="1" applyProtection="1">
      <alignment horizontal="center" vertical="center"/>
    </xf>
    <xf numFmtId="0" fontId="0" fillId="0" borderId="3" xfId="0"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0" fillId="0" borderId="13" xfId="0" applyFill="1" applyBorder="1" applyAlignment="1" applyProtection="1">
      <alignment horizontal="left" vertical="center"/>
    </xf>
    <xf numFmtId="0" fontId="0" fillId="0" borderId="7" xfId="0" applyFill="1" applyBorder="1" applyAlignment="1" applyProtection="1">
      <alignment horizontal="left" vertical="center"/>
    </xf>
    <xf numFmtId="0" fontId="0" fillId="8" borderId="2" xfId="0" applyFill="1" applyBorder="1" applyAlignment="1" applyProtection="1">
      <alignment horizontal="left" vertical="center"/>
    </xf>
    <xf numFmtId="0" fontId="0" fillId="8" borderId="6" xfId="0" applyFill="1" applyBorder="1" applyAlignment="1" applyProtection="1">
      <alignment horizontal="left" vertical="center"/>
    </xf>
    <xf numFmtId="0" fontId="0" fillId="8" borderId="3" xfId="0" applyFill="1" applyBorder="1" applyAlignment="1" applyProtection="1">
      <alignment horizontal="left" vertical="center"/>
    </xf>
    <xf numFmtId="164" fontId="1" fillId="0" borderId="1" xfId="0" applyNumberFormat="1" applyFont="1" applyFill="1" applyBorder="1" applyAlignment="1" applyProtection="1">
      <alignment horizontal="center" vertical="center"/>
    </xf>
    <xf numFmtId="0" fontId="28" fillId="0" borderId="21" xfId="0" applyFont="1" applyFill="1" applyBorder="1" applyAlignment="1" applyProtection="1">
      <alignment horizontal="right" vertical="center"/>
      <protection locked="0"/>
    </xf>
    <xf numFmtId="0" fontId="28" fillId="0" borderId="22" xfId="0" applyFont="1" applyFill="1" applyBorder="1" applyAlignment="1" applyProtection="1">
      <alignment horizontal="right" vertical="center"/>
      <protection locked="0"/>
    </xf>
    <xf numFmtId="0" fontId="24" fillId="0" borderId="13"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25" fillId="0" borderId="1" xfId="0" applyFont="1" applyFill="1" applyBorder="1" applyAlignment="1" applyProtection="1">
      <alignment horizontal="left" vertical="center" wrapText="1"/>
    </xf>
    <xf numFmtId="164" fontId="5" fillId="8" borderId="23" xfId="0" applyNumberFormat="1" applyFont="1" applyFill="1" applyBorder="1" applyAlignment="1" applyProtection="1">
      <alignment horizontal="center" vertical="center" wrapText="1"/>
      <protection locked="0"/>
    </xf>
    <xf numFmtId="164" fontId="5" fillId="8" borderId="24" xfId="0" applyNumberFormat="1" applyFont="1" applyFill="1" applyBorder="1" applyAlignment="1" applyProtection="1">
      <alignment horizontal="center" vertical="center" wrapText="1"/>
      <protection locked="0"/>
    </xf>
    <xf numFmtId="164" fontId="5" fillId="8" borderId="25" xfId="0" applyNumberFormat="1" applyFont="1" applyFill="1" applyBorder="1" applyAlignment="1" applyProtection="1">
      <alignment horizontal="center" vertical="center" wrapText="1"/>
      <protection locked="0"/>
    </xf>
    <xf numFmtId="164" fontId="1" fillId="8" borderId="5" xfId="0" applyNumberFormat="1" applyFont="1" applyFill="1" applyBorder="1" applyAlignment="1" applyProtection="1">
      <alignment horizontal="center" vertical="center" wrapText="1"/>
    </xf>
    <xf numFmtId="164" fontId="1" fillId="8" borderId="12" xfId="0" applyNumberFormat="1" applyFont="1" applyFill="1" applyBorder="1" applyAlignment="1" applyProtection="1">
      <alignment horizontal="center" vertical="center" wrapText="1"/>
    </xf>
    <xf numFmtId="164" fontId="1" fillId="8" borderId="7" xfId="0" applyNumberFormat="1" applyFont="1" applyFill="1" applyBorder="1" applyAlignment="1" applyProtection="1">
      <alignment horizontal="center" vertical="center" wrapText="1"/>
    </xf>
    <xf numFmtId="0" fontId="1" fillId="0" borderId="0" xfId="0" applyFont="1" applyAlignment="1" applyProtection="1">
      <alignment horizontal="left" vertical="center"/>
    </xf>
    <xf numFmtId="0" fontId="1" fillId="9" borderId="2" xfId="0" applyFont="1" applyFill="1" applyBorder="1" applyAlignment="1" applyProtection="1">
      <alignment vertical="center"/>
    </xf>
    <xf numFmtId="0" fontId="0" fillId="9" borderId="4" xfId="0" applyFill="1" applyBorder="1" applyAlignment="1" applyProtection="1">
      <alignment vertical="center"/>
    </xf>
    <xf numFmtId="0" fontId="0" fillId="9" borderId="3" xfId="0" applyFill="1" applyBorder="1" applyAlignment="1" applyProtection="1">
      <alignment vertical="center"/>
    </xf>
    <xf numFmtId="0" fontId="1" fillId="9" borderId="2" xfId="0" applyFont="1" applyFill="1" applyBorder="1" applyAlignment="1" applyProtection="1">
      <alignment horizontal="left" vertical="center"/>
    </xf>
    <xf numFmtId="0" fontId="0" fillId="9" borderId="4" xfId="0" applyFill="1" applyBorder="1" applyAlignment="1" applyProtection="1">
      <alignment horizontal="left" vertical="center"/>
    </xf>
    <xf numFmtId="0" fontId="0" fillId="9" borderId="3" xfId="0" applyFill="1" applyBorder="1" applyAlignment="1" applyProtection="1">
      <alignment horizontal="left" vertical="center"/>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Alignment="1" applyProtection="1">
      <alignment vertical="center" wrapText="1"/>
    </xf>
    <xf numFmtId="0" fontId="15" fillId="0" borderId="0" xfId="0" applyFont="1" applyAlignment="1" applyProtection="1">
      <alignment vertical="center" wrapText="1"/>
    </xf>
    <xf numFmtId="0" fontId="0" fillId="0" borderId="0" xfId="0" applyAlignment="1" applyProtection="1">
      <alignment vertical="center" wrapText="1"/>
    </xf>
    <xf numFmtId="0" fontId="9" fillId="0" borderId="0" xfId="0" applyFont="1" applyAlignment="1" applyProtection="1">
      <alignment vertical="center" wrapText="1"/>
    </xf>
    <xf numFmtId="0" fontId="4" fillId="9" borderId="2" xfId="0" quotePrefix="1" applyFont="1" applyFill="1" applyBorder="1" applyAlignment="1" applyProtection="1">
      <alignment horizontal="left" vertical="center"/>
    </xf>
    <xf numFmtId="0" fontId="4" fillId="9" borderId="4" xfId="0" quotePrefix="1" applyFont="1" applyFill="1" applyBorder="1" applyAlignment="1" applyProtection="1">
      <alignment horizontal="left" vertical="center"/>
    </xf>
    <xf numFmtId="0" fontId="4" fillId="9" borderId="3" xfId="0" quotePrefix="1" applyFont="1" applyFill="1" applyBorder="1" applyAlignment="1" applyProtection="1">
      <alignment horizontal="left" vertical="center"/>
    </xf>
    <xf numFmtId="164" fontId="1" fillId="8" borderId="6" xfId="0" applyNumberFormat="1"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7" fillId="9" borderId="1" xfId="0" applyFont="1" applyFill="1" applyBorder="1" applyAlignment="1" applyProtection="1">
      <alignment horizontal="center" vertical="center"/>
    </xf>
    <xf numFmtId="0" fontId="0" fillId="9" borderId="1"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164" fontId="5" fillId="0" borderId="2" xfId="0" applyNumberFormat="1" applyFont="1" applyFill="1" applyBorder="1" applyAlignment="1" applyProtection="1">
      <alignment vertical="center"/>
    </xf>
    <xf numFmtId="164" fontId="5" fillId="0" borderId="3" xfId="0" applyNumberFormat="1" applyFont="1" applyFill="1" applyBorder="1" applyAlignment="1" applyProtection="1">
      <alignment vertical="center"/>
    </xf>
    <xf numFmtId="0" fontId="3" fillId="0" borderId="3" xfId="0" applyFont="1" applyFill="1" applyBorder="1" applyAlignment="1" applyProtection="1">
      <alignment horizontal="left" vertical="center"/>
    </xf>
    <xf numFmtId="0" fontId="0" fillId="0" borderId="2"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1" xfId="0" applyFill="1" applyBorder="1" applyAlignment="1" applyProtection="1">
      <alignment horizontal="left" vertical="center"/>
    </xf>
    <xf numFmtId="164" fontId="1" fillId="0" borderId="1" xfId="0" applyNumberFormat="1" applyFont="1" applyFill="1" applyBorder="1" applyAlignment="1" applyProtection="1">
      <alignment vertical="center"/>
    </xf>
    <xf numFmtId="164" fontId="1" fillId="0" borderId="9" xfId="0" applyNumberFormat="1" applyFont="1" applyFill="1" applyBorder="1" applyAlignment="1" applyProtection="1">
      <alignment vertical="center"/>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7" fillId="0" borderId="1" xfId="0" applyFont="1" applyBorder="1" applyAlignment="1" applyProtection="1">
      <alignment horizontal="center"/>
    </xf>
    <xf numFmtId="0" fontId="7" fillId="9" borderId="1" xfId="0" applyFont="1" applyFill="1" applyBorder="1" applyAlignment="1" applyProtection="1">
      <alignment horizontal="center"/>
    </xf>
    <xf numFmtId="0" fontId="28" fillId="0" borderId="20" xfId="0" applyFont="1" applyFill="1" applyBorder="1" applyAlignment="1" applyProtection="1">
      <alignment horizontal="center" wrapText="1"/>
      <protection locked="0"/>
    </xf>
    <xf numFmtId="0" fontId="28" fillId="0" borderId="20"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9" fontId="5" fillId="0" borderId="9" xfId="0" applyNumberFormat="1" applyFont="1" applyBorder="1" applyAlignment="1" applyProtection="1">
      <alignment horizontal="center"/>
      <protection locked="0"/>
    </xf>
    <xf numFmtId="164" fontId="5" fillId="0" borderId="16" xfId="0" applyNumberFormat="1" applyFont="1" applyBorder="1" applyAlignment="1" applyProtection="1">
      <alignment horizontal="center"/>
      <protection locked="0"/>
    </xf>
    <xf numFmtId="164" fontId="5" fillId="0" borderId="20" xfId="0" applyNumberFormat="1" applyFont="1" applyBorder="1" applyAlignment="1" applyProtection="1">
      <alignment horizontal="center"/>
      <protection locked="0"/>
    </xf>
    <xf numFmtId="164" fontId="5" fillId="0" borderId="9" xfId="0" applyNumberFormat="1" applyFont="1" applyBorder="1" applyAlignment="1" applyProtection="1">
      <alignment horizontal="center"/>
      <protection locked="0"/>
    </xf>
    <xf numFmtId="0" fontId="3" fillId="0" borderId="0" xfId="0" applyFont="1" applyBorder="1" applyAlignment="1" applyProtection="1">
      <alignment horizontal="left"/>
    </xf>
    <xf numFmtId="0" fontId="3" fillId="0" borderId="1" xfId="0" applyFont="1" applyFill="1" applyBorder="1" applyAlignment="1" applyProtection="1">
      <alignment horizontal="left"/>
    </xf>
    <xf numFmtId="0" fontId="3" fillId="0" borderId="5"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11"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2" xfId="0" applyFont="1" applyFill="1" applyBorder="1" applyAlignment="1" applyProtection="1">
      <alignment horizontal="left"/>
    </xf>
    <xf numFmtId="0" fontId="3" fillId="0" borderId="4" xfId="0" applyFont="1" applyFill="1" applyBorder="1" applyAlignment="1" applyProtection="1">
      <alignment horizontal="left"/>
    </xf>
    <xf numFmtId="0" fontId="3" fillId="0" borderId="3" xfId="0" applyFont="1" applyFill="1" applyBorder="1" applyAlignment="1" applyProtection="1">
      <alignment horizontal="left"/>
    </xf>
    <xf numFmtId="0" fontId="9" fillId="0" borderId="5" xfId="0" applyFont="1" applyFill="1" applyBorder="1" applyAlignment="1" applyProtection="1">
      <alignment horizontal="left"/>
    </xf>
    <xf numFmtId="0" fontId="9" fillId="0" borderId="4" xfId="0" applyFont="1" applyFill="1" applyBorder="1" applyAlignment="1" applyProtection="1">
      <alignment horizontal="left"/>
    </xf>
    <xf numFmtId="0" fontId="9" fillId="0" borderId="11" xfId="0" applyFont="1" applyFill="1" applyBorder="1" applyAlignment="1" applyProtection="1">
      <alignment horizontal="left"/>
    </xf>
    <xf numFmtId="0" fontId="9" fillId="0" borderId="3" xfId="0" applyFont="1" applyFill="1" applyBorder="1" applyAlignment="1" applyProtection="1">
      <alignment horizontal="left"/>
    </xf>
    <xf numFmtId="0" fontId="3" fillId="0" borderId="2"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14" xfId="0" applyFont="1" applyFill="1" applyBorder="1" applyAlignment="1" applyProtection="1">
      <alignment horizontal="center"/>
    </xf>
    <xf numFmtId="0" fontId="3" fillId="0" borderId="3" xfId="0" applyFont="1" applyFill="1" applyBorder="1" applyAlignment="1" applyProtection="1">
      <alignment horizontal="center"/>
    </xf>
    <xf numFmtId="0" fontId="3" fillId="0" borderId="1" xfId="0" applyFont="1" applyBorder="1" applyAlignment="1" applyProtection="1">
      <alignment horizontal="left"/>
    </xf>
    <xf numFmtId="0" fontId="7" fillId="0" borderId="9" xfId="0" applyFont="1" applyBorder="1" applyAlignment="1" applyProtection="1">
      <alignment horizontal="center"/>
    </xf>
    <xf numFmtId="0" fontId="3" fillId="0" borderId="1" xfId="0" applyFont="1" applyBorder="1" applyAlignment="1" applyProtection="1">
      <alignment horizontal="center"/>
    </xf>
    <xf numFmtId="0" fontId="3" fillId="0" borderId="3" xfId="0" applyFont="1" applyBorder="1" applyAlignment="1" applyProtection="1">
      <alignment horizontal="left"/>
    </xf>
    <xf numFmtId="0" fontId="2" fillId="0" borderId="1" xfId="0" applyFont="1" applyBorder="1" applyAlignment="1" applyProtection="1">
      <alignment horizontal="left"/>
    </xf>
    <xf numFmtId="0" fontId="3" fillId="0" borderId="6" xfId="0" applyFont="1" applyFill="1" applyBorder="1" applyAlignment="1" applyProtection="1">
      <alignment horizontal="left"/>
    </xf>
    <xf numFmtId="0" fontId="3" fillId="0" borderId="9" xfId="0" applyFont="1" applyFill="1" applyBorder="1" applyAlignment="1" applyProtection="1">
      <alignment horizontal="left"/>
    </xf>
    <xf numFmtId="9" fontId="27" fillId="0" borderId="27" xfId="0" applyNumberFormat="1" applyFont="1" applyFill="1" applyBorder="1" applyAlignment="1" applyProtection="1">
      <alignment horizontal="center"/>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3" fillId="0" borderId="2" xfId="0" applyFont="1" applyBorder="1" applyAlignment="1" applyProtection="1">
      <alignment horizontal="center"/>
    </xf>
    <xf numFmtId="0" fontId="23" fillId="0" borderId="3" xfId="0" applyFont="1" applyBorder="1" applyAlignment="1" applyProtection="1">
      <alignment horizontal="center"/>
    </xf>
    <xf numFmtId="164" fontId="5" fillId="0" borderId="1" xfId="0" applyNumberFormat="1" applyFont="1" applyBorder="1" applyAlignment="1" applyProtection="1">
      <alignment horizontal="center"/>
      <protection locked="0"/>
    </xf>
    <xf numFmtId="168" fontId="2" fillId="0" borderId="2" xfId="0" applyNumberFormat="1" applyFont="1" applyFill="1" applyBorder="1" applyAlignment="1" applyProtection="1">
      <alignment horizontal="center" vertical="center"/>
    </xf>
    <xf numFmtId="168" fontId="2" fillId="0" borderId="3" xfId="0" applyNumberFormat="1" applyFont="1" applyFill="1" applyBorder="1" applyAlignment="1" applyProtection="1">
      <alignment horizontal="center" vertical="center"/>
    </xf>
    <xf numFmtId="2" fontId="1" fillId="0" borderId="2" xfId="0" applyNumberFormat="1" applyFont="1" applyFill="1" applyBorder="1" applyAlignment="1" applyProtection="1">
      <alignment horizontal="center"/>
    </xf>
    <xf numFmtId="2" fontId="1" fillId="0" borderId="3" xfId="0" applyNumberFormat="1" applyFont="1" applyFill="1" applyBorder="1" applyAlignment="1" applyProtection="1">
      <alignment horizontal="center"/>
    </xf>
    <xf numFmtId="0" fontId="1" fillId="0" borderId="2" xfId="0" applyFont="1" applyFill="1" applyBorder="1" applyAlignment="1" applyProtection="1">
      <alignment horizontal="left"/>
    </xf>
    <xf numFmtId="0" fontId="1" fillId="0" borderId="4" xfId="0" applyFont="1" applyFill="1" applyBorder="1" applyAlignment="1" applyProtection="1">
      <alignment horizontal="left"/>
    </xf>
    <xf numFmtId="0" fontId="1" fillId="0" borderId="3" xfId="0" applyFont="1" applyFill="1" applyBorder="1" applyAlignment="1" applyProtection="1">
      <alignment horizontal="left"/>
    </xf>
    <xf numFmtId="168" fontId="2" fillId="0" borderId="7" xfId="0" applyNumberFormat="1" applyFont="1" applyFill="1" applyBorder="1" applyAlignment="1" applyProtection="1">
      <alignment horizontal="center" vertical="center"/>
    </xf>
    <xf numFmtId="168" fontId="2" fillId="0" borderId="4" xfId="0" applyNumberFormat="1" applyFont="1" applyFill="1" applyBorder="1" applyAlignment="1" applyProtection="1">
      <alignment horizontal="center" vertical="center"/>
    </xf>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3" fillId="0" borderId="2" xfId="0" applyFont="1" applyBorder="1" applyAlignment="1"/>
    <xf numFmtId="0" fontId="0" fillId="0" borderId="4" xfId="0" applyBorder="1" applyAlignment="1"/>
    <xf numFmtId="0" fontId="0" fillId="0" borderId="3" xfId="0" applyBorder="1" applyAlignment="1"/>
    <xf numFmtId="0" fontId="0" fillId="0" borderId="1" xfId="0" applyFill="1" applyBorder="1" applyAlignment="1"/>
    <xf numFmtId="0" fontId="2" fillId="0" borderId="1" xfId="0" applyFont="1" applyBorder="1" applyAlignment="1">
      <alignment horizontal="left"/>
    </xf>
    <xf numFmtId="0" fontId="3" fillId="0" borderId="1" xfId="0" applyFont="1" applyBorder="1" applyAlignment="1">
      <alignment horizontal="left"/>
    </xf>
    <xf numFmtId="0" fontId="3" fillId="0" borderId="5" xfId="0" applyFont="1" applyFill="1" applyBorder="1" applyAlignment="1">
      <alignment vertical="center" wrapText="1"/>
    </xf>
    <xf numFmtId="0" fontId="0" fillId="0" borderId="11" xfId="0" applyFill="1" applyBorder="1" applyAlignment="1"/>
    <xf numFmtId="0" fontId="0" fillId="0" borderId="6" xfId="0" applyFill="1" applyBorder="1" applyAlignment="1"/>
    <xf numFmtId="0" fontId="0" fillId="0" borderId="12" xfId="0" applyFill="1" applyBorder="1" applyAlignment="1"/>
    <xf numFmtId="0" fontId="0" fillId="0" borderId="0" xfId="0" applyFill="1" applyAlignment="1"/>
    <xf numFmtId="0" fontId="0" fillId="0" borderId="13" xfId="0" applyFill="1" applyBorder="1" applyAlignment="1"/>
    <xf numFmtId="0" fontId="0" fillId="0" borderId="7" xfId="0" applyFill="1" applyBorder="1" applyAlignment="1"/>
    <xf numFmtId="0" fontId="0" fillId="0" borderId="14" xfId="0" applyFill="1" applyBorder="1" applyAlignment="1"/>
    <xf numFmtId="0" fontId="0" fillId="0" borderId="8" xfId="0" applyFill="1" applyBorder="1" applyAlignment="1"/>
    <xf numFmtId="0" fontId="3" fillId="11" borderId="2" xfId="0" applyFont="1" applyFill="1" applyBorder="1" applyAlignment="1"/>
    <xf numFmtId="0" fontId="3" fillId="11" borderId="4" xfId="0" applyFont="1" applyFill="1" applyBorder="1" applyAlignment="1"/>
    <xf numFmtId="0" fontId="0" fillId="11" borderId="3" xfId="0" applyFill="1" applyBorder="1" applyAlignment="1"/>
    <xf numFmtId="0" fontId="0" fillId="0" borderId="2" xfId="0" applyBorder="1" applyAlignment="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2" xfId="0" applyFill="1" applyBorder="1" applyAlignment="1"/>
    <xf numFmtId="0" fontId="0" fillId="0" borderId="4" xfId="0" applyFill="1" applyBorder="1" applyAlignment="1"/>
    <xf numFmtId="0" fontId="0" fillId="0" borderId="3" xfId="0" applyFill="1" applyBorder="1" applyAlignment="1"/>
    <xf numFmtId="0" fontId="3" fillId="0" borderId="2" xfId="0" applyFont="1" applyFill="1" applyBorder="1" applyAlignment="1"/>
    <xf numFmtId="0" fontId="1" fillId="0" borderId="2" xfId="0"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horizontal="center"/>
    </xf>
    <xf numFmtId="0" fontId="3" fillId="13" borderId="2" xfId="0" applyFont="1" applyFill="1" applyBorder="1" applyAlignment="1"/>
    <xf numFmtId="0" fontId="3" fillId="13" borderId="4" xfId="0" applyFont="1" applyFill="1" applyBorder="1" applyAlignment="1"/>
    <xf numFmtId="0" fontId="0" fillId="13" borderId="3" xfId="0" applyFill="1" applyBorder="1" applyAlignment="1"/>
    <xf numFmtId="0" fontId="3" fillId="0" borderId="1" xfId="0" applyFont="1" applyFill="1" applyBorder="1" applyAlignment="1">
      <alignment horizontal="left"/>
    </xf>
    <xf numFmtId="0" fontId="2" fillId="0" borderId="1" xfId="0" applyFont="1" applyFill="1" applyBorder="1" applyAlignment="1">
      <alignment horizontal="left"/>
    </xf>
    <xf numFmtId="0" fontId="0" fillId="2" borderId="2" xfId="0" applyFill="1" applyBorder="1" applyAlignment="1"/>
    <xf numFmtId="0" fontId="0" fillId="2" borderId="4" xfId="0" applyFill="1" applyBorder="1" applyAlignment="1"/>
    <xf numFmtId="0" fontId="3" fillId="0" borderId="1" xfId="0" applyFont="1" applyBorder="1" applyAlignment="1">
      <alignment horizontal="center"/>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0" fontId="0" fillId="0" borderId="1" xfId="0" applyBorder="1" applyAlignment="1" applyProtection="1">
      <alignment horizontal="center"/>
    </xf>
    <xf numFmtId="0" fontId="0" fillId="0" borderId="1" xfId="0" applyBorder="1" applyAlignment="1" applyProtection="1">
      <alignment horizontal="left"/>
    </xf>
    <xf numFmtId="164" fontId="0" fillId="0" borderId="3" xfId="0" applyNumberFormat="1" applyFill="1" applyBorder="1" applyAlignment="1" applyProtection="1">
      <alignment horizontal="right" indent="1"/>
    </xf>
    <xf numFmtId="164" fontId="0" fillId="0" borderId="1" xfId="0" applyNumberFormat="1" applyFill="1" applyBorder="1" applyAlignment="1" applyProtection="1">
      <alignment horizontal="right" indent="1"/>
    </xf>
    <xf numFmtId="0" fontId="1" fillId="0" borderId="3" xfId="0" applyFont="1" applyBorder="1" applyAlignment="1" applyProtection="1">
      <alignment horizontal="center" wrapText="1"/>
    </xf>
    <xf numFmtId="0" fontId="1" fillId="0" borderId="1" xfId="0" applyFont="1" applyBorder="1" applyAlignment="1" applyProtection="1">
      <alignment horizontal="center" wrapText="1"/>
    </xf>
    <xf numFmtId="164" fontId="1" fillId="0" borderId="31" xfId="0" applyNumberFormat="1" applyFont="1" applyBorder="1" applyAlignment="1" applyProtection="1">
      <alignment horizontal="right" indent="1"/>
    </xf>
    <xf numFmtId="164" fontId="1" fillId="0" borderId="32" xfId="0" applyNumberFormat="1" applyFont="1" applyBorder="1" applyAlignment="1" applyProtection="1">
      <alignment horizontal="right" indent="1"/>
    </xf>
    <xf numFmtId="164" fontId="0" fillId="0" borderId="31" xfId="0" applyNumberFormat="1" applyBorder="1" applyAlignment="1" applyProtection="1">
      <alignment horizontal="right" indent="1"/>
    </xf>
    <xf numFmtId="164" fontId="0" fillId="0" borderId="32" xfId="0" applyNumberFormat="1" applyBorder="1" applyAlignment="1" applyProtection="1">
      <alignment horizontal="right" indent="1"/>
    </xf>
    <xf numFmtId="164" fontId="0" fillId="0" borderId="31" xfId="0" applyNumberFormat="1" applyFill="1" applyBorder="1" applyAlignment="1" applyProtection="1">
      <alignment horizontal="right" indent="1"/>
    </xf>
    <xf numFmtId="164" fontId="0" fillId="0" borderId="32" xfId="0" applyNumberFormat="1" applyFill="1" applyBorder="1" applyAlignment="1" applyProtection="1">
      <alignment horizontal="right" indent="1"/>
    </xf>
    <xf numFmtId="164" fontId="9" fillId="0" borderId="31" xfId="0" applyNumberFormat="1" applyFont="1" applyBorder="1" applyAlignment="1" applyProtection="1">
      <alignment horizontal="right" indent="1"/>
    </xf>
    <xf numFmtId="164" fontId="9" fillId="0" borderId="32" xfId="0" applyNumberFormat="1" applyFont="1" applyBorder="1" applyAlignment="1" applyProtection="1">
      <alignment horizontal="right" indent="1"/>
    </xf>
    <xf numFmtId="164" fontId="0" fillId="0" borderId="3" xfId="0" applyNumberFormat="1" applyBorder="1" applyAlignment="1" applyProtection="1">
      <alignment horizontal="right" indent="1"/>
    </xf>
    <xf numFmtId="164" fontId="0" fillId="0" borderId="1" xfId="0" applyNumberFormat="1" applyBorder="1" applyAlignment="1" applyProtection="1">
      <alignment horizontal="right" indent="1"/>
    </xf>
    <xf numFmtId="164" fontId="1" fillId="0" borderId="2" xfId="0" applyNumberFormat="1" applyFont="1" applyBorder="1" applyAlignment="1" applyProtection="1">
      <alignment horizontal="right" indent="1"/>
    </xf>
    <xf numFmtId="164" fontId="9" fillId="0" borderId="2" xfId="0" applyNumberFormat="1" applyFont="1" applyFill="1" applyBorder="1" applyAlignment="1" applyProtection="1">
      <alignment horizontal="right" indent="1"/>
    </xf>
    <xf numFmtId="164" fontId="9" fillId="0" borderId="32" xfId="0" applyNumberFormat="1" applyFont="1" applyFill="1" applyBorder="1" applyAlignment="1" applyProtection="1">
      <alignment horizontal="right" indent="1"/>
    </xf>
    <xf numFmtId="164" fontId="0" fillId="0" borderId="2" xfId="0" applyNumberFormat="1" applyFill="1" applyBorder="1" applyAlignment="1" applyProtection="1">
      <alignment horizontal="right" indent="1"/>
    </xf>
    <xf numFmtId="164" fontId="0" fillId="0" borderId="2" xfId="0" applyNumberFormat="1" applyBorder="1" applyAlignment="1" applyProtection="1">
      <alignment horizontal="right" indent="1"/>
    </xf>
    <xf numFmtId="0" fontId="1" fillId="0" borderId="2" xfId="0" applyFont="1" applyBorder="1" applyAlignment="1" applyProtection="1">
      <alignment horizontal="center" wrapText="1"/>
    </xf>
    <xf numFmtId="0" fontId="1" fillId="0" borderId="32" xfId="0" applyFont="1" applyBorder="1" applyAlignment="1" applyProtection="1">
      <alignment horizontal="center" wrapText="1"/>
    </xf>
    <xf numFmtId="0" fontId="1" fillId="0" borderId="1" xfId="0" applyFont="1" applyBorder="1" applyAlignment="1" applyProtection="1">
      <alignment horizontal="left"/>
    </xf>
    <xf numFmtId="0" fontId="1" fillId="9" borderId="1" xfId="0" applyFont="1" applyFill="1" applyBorder="1" applyAlignment="1" applyProtection="1"/>
    <xf numFmtId="0" fontId="0" fillId="9" borderId="1" xfId="0" applyFill="1" applyBorder="1" applyAlignment="1" applyProtection="1"/>
    <xf numFmtId="164" fontId="1" fillId="0" borderId="3" xfId="0" applyNumberFormat="1" applyFont="1" applyBorder="1" applyAlignment="1" applyProtection="1">
      <alignment horizontal="right" indent="1"/>
    </xf>
    <xf numFmtId="164" fontId="1" fillId="0" borderId="1" xfId="0" applyNumberFormat="1" applyFont="1" applyBorder="1" applyAlignment="1" applyProtection="1">
      <alignment horizontal="right" indent="1"/>
    </xf>
    <xf numFmtId="164" fontId="9" fillId="0" borderId="3" xfId="0" applyNumberFormat="1" applyFont="1" applyFill="1" applyBorder="1" applyAlignment="1" applyProtection="1">
      <alignment horizontal="right" indent="1"/>
    </xf>
    <xf numFmtId="164" fontId="9" fillId="0" borderId="1" xfId="0" applyNumberFormat="1" applyFont="1" applyFill="1" applyBorder="1" applyAlignment="1" applyProtection="1">
      <alignment horizontal="right" indent="1"/>
    </xf>
    <xf numFmtId="165" fontId="7" fillId="9" borderId="4" xfId="0" applyNumberFormat="1" applyFont="1" applyFill="1" applyBorder="1" applyAlignment="1" applyProtection="1">
      <alignment horizontal="right" indent="1"/>
    </xf>
    <xf numFmtId="0" fontId="1" fillId="0" borderId="31" xfId="0" applyFont="1" applyBorder="1" applyAlignment="1" applyProtection="1">
      <alignment horizontal="center" wrapText="1"/>
    </xf>
    <xf numFmtId="164" fontId="9" fillId="0" borderId="2" xfId="0" applyNumberFormat="1" applyFont="1" applyBorder="1" applyAlignment="1" applyProtection="1">
      <alignment horizontal="right" indent="1"/>
    </xf>
    <xf numFmtId="0" fontId="15" fillId="0" borderId="0" xfId="0" applyFont="1" applyAlignment="1" applyProtection="1">
      <alignment wrapText="1"/>
    </xf>
    <xf numFmtId="0" fontId="0" fillId="0" borderId="0" xfId="0" applyAlignment="1" applyProtection="1">
      <alignment wrapText="1"/>
    </xf>
    <xf numFmtId="0" fontId="4" fillId="9" borderId="1" xfId="0" quotePrefix="1" applyFont="1" applyFill="1" applyBorder="1" applyAlignment="1" applyProtection="1">
      <alignment horizontal="left"/>
    </xf>
    <xf numFmtId="0" fontId="9" fillId="0" borderId="0" xfId="0" applyFont="1" applyAlignment="1" applyProtection="1">
      <alignment wrapText="1"/>
    </xf>
    <xf numFmtId="164" fontId="9" fillId="0" borderId="3" xfId="0" applyNumberFormat="1" applyFont="1" applyBorder="1" applyAlignment="1" applyProtection="1">
      <alignment horizontal="right" indent="1"/>
    </xf>
    <xf numFmtId="164" fontId="9" fillId="0" borderId="1" xfId="0" applyNumberFormat="1" applyFont="1" applyBorder="1" applyAlignment="1" applyProtection="1">
      <alignment horizontal="right" indent="1"/>
    </xf>
    <xf numFmtId="165" fontId="7" fillId="9" borderId="30" xfId="0" applyNumberFormat="1" applyFont="1" applyFill="1" applyBorder="1" applyAlignment="1" applyProtection="1">
      <alignment horizontal="right" indent="1"/>
    </xf>
    <xf numFmtId="165" fontId="7" fillId="9" borderId="1" xfId="0" applyNumberFormat="1" applyFont="1" applyFill="1" applyBorder="1" applyAlignment="1" applyProtection="1">
      <alignment horizontal="right" indent="1"/>
    </xf>
    <xf numFmtId="165" fontId="7" fillId="9" borderId="2" xfId="0" applyNumberFormat="1" applyFont="1" applyFill="1" applyBorder="1" applyAlignment="1" applyProtection="1">
      <alignment horizontal="right" indent="1"/>
    </xf>
    <xf numFmtId="165" fontId="7" fillId="9" borderId="32" xfId="0" applyNumberFormat="1" applyFont="1" applyFill="1" applyBorder="1" applyAlignment="1" applyProtection="1">
      <alignment horizontal="right" indent="1"/>
    </xf>
    <xf numFmtId="165" fontId="7" fillId="9" borderId="31" xfId="0" applyNumberFormat="1" applyFont="1" applyFill="1" applyBorder="1" applyAlignment="1" applyProtection="1">
      <alignment horizontal="right" indent="1"/>
    </xf>
    <xf numFmtId="164" fontId="9" fillId="0" borderId="31" xfId="0" applyNumberFormat="1" applyFont="1" applyFill="1" applyBorder="1" applyAlignment="1" applyProtection="1">
      <alignment horizontal="right" indent="1"/>
    </xf>
    <xf numFmtId="165" fontId="7" fillId="9" borderId="3" xfId="0" applyNumberFormat="1" applyFont="1" applyFill="1" applyBorder="1" applyAlignment="1" applyProtection="1">
      <alignment horizontal="right" indent="1"/>
    </xf>
    <xf numFmtId="164" fontId="3" fillId="0" borderId="31" xfId="0" applyNumberFormat="1" applyFont="1" applyBorder="1" applyAlignment="1" applyProtection="1">
      <alignment horizontal="right" wrapText="1" indent="1"/>
    </xf>
    <xf numFmtId="164" fontId="3" fillId="0" borderId="32" xfId="0" applyNumberFormat="1" applyFont="1" applyBorder="1" applyAlignment="1" applyProtection="1">
      <alignment horizontal="right" wrapText="1" indent="1"/>
    </xf>
    <xf numFmtId="0" fontId="3" fillId="0" borderId="4" xfId="0" applyFont="1" applyBorder="1" applyAlignment="1" applyProtection="1">
      <alignment horizontal="right" wrapText="1" indent="1"/>
    </xf>
    <xf numFmtId="0" fontId="3" fillId="0" borderId="32" xfId="0" applyFont="1" applyBorder="1" applyAlignment="1" applyProtection="1">
      <alignment horizontal="right" wrapText="1" indent="1"/>
    </xf>
    <xf numFmtId="0" fontId="1" fillId="0" borderId="4" xfId="0" applyFont="1" applyBorder="1" applyAlignment="1" applyProtection="1">
      <alignment horizontal="center" wrapText="1"/>
    </xf>
    <xf numFmtId="0" fontId="1" fillId="0" borderId="2" xfId="0" applyFont="1" applyBorder="1" applyAlignment="1" applyProtection="1">
      <alignment horizontal="center"/>
    </xf>
    <xf numFmtId="0" fontId="1" fillId="0" borderId="4" xfId="0" applyFont="1" applyBorder="1" applyAlignment="1" applyProtection="1">
      <alignment horizontal="center"/>
    </xf>
    <xf numFmtId="0" fontId="1" fillId="0" borderId="3" xfId="0" applyFont="1" applyBorder="1" applyAlignment="1" applyProtection="1">
      <alignment horizontal="center"/>
    </xf>
    <xf numFmtId="164" fontId="0" fillId="0" borderId="4" xfId="0" applyNumberFormat="1" applyBorder="1" applyAlignment="1" applyProtection="1">
      <alignment horizontal="right" indent="1"/>
    </xf>
    <xf numFmtId="164" fontId="3" fillId="0" borderId="2" xfId="0" applyNumberFormat="1" applyFont="1" applyBorder="1" applyAlignment="1" applyProtection="1">
      <alignment horizontal="right" wrapText="1" indent="1"/>
    </xf>
    <xf numFmtId="164" fontId="3" fillId="0" borderId="4" xfId="0" applyNumberFormat="1" applyFont="1" applyBorder="1" applyAlignment="1" applyProtection="1">
      <alignment horizontal="right" wrapText="1" indent="1"/>
    </xf>
    <xf numFmtId="0" fontId="3" fillId="0" borderId="2" xfId="0" applyFont="1" applyBorder="1" applyAlignment="1" applyProtection="1">
      <alignment horizontal="right" wrapText="1" indent="1"/>
    </xf>
    <xf numFmtId="0" fontId="3" fillId="0" borderId="2" xfId="0" applyFont="1" applyBorder="1" applyAlignment="1" applyProtection="1">
      <alignment horizontal="left"/>
    </xf>
    <xf numFmtId="164" fontId="3" fillId="0" borderId="3" xfId="0" applyNumberFormat="1" applyFont="1" applyBorder="1" applyAlignment="1" applyProtection="1">
      <alignment horizontal="right" wrapText="1" indent="1"/>
    </xf>
    <xf numFmtId="0" fontId="3" fillId="0" borderId="31" xfId="0" applyFont="1" applyBorder="1" applyAlignment="1" applyProtection="1">
      <alignment horizontal="right" wrapText="1" indent="1"/>
    </xf>
    <xf numFmtId="0" fontId="3" fillId="0" borderId="3" xfId="0" applyFont="1" applyBorder="1" applyAlignment="1" applyProtection="1">
      <alignment horizontal="right" wrapText="1" indent="1"/>
    </xf>
    <xf numFmtId="0" fontId="0" fillId="0" borderId="1" xfId="0" applyBorder="1" applyAlignment="1">
      <alignment horizontal="center"/>
    </xf>
    <xf numFmtId="0" fontId="7" fillId="9" borderId="1" xfId="0" applyFont="1" applyFill="1" applyBorder="1" applyAlignment="1">
      <alignment horizontal="center"/>
    </xf>
    <xf numFmtId="0" fontId="0" fillId="9" borderId="1" xfId="0" applyFill="1" applyBorder="1" applyAlignment="1">
      <alignment horizontal="center"/>
    </xf>
    <xf numFmtId="0" fontId="1" fillId="0" borderId="1" xfId="0" applyFont="1" applyBorder="1" applyAlignment="1">
      <alignment horizontal="left"/>
    </xf>
    <xf numFmtId="0" fontId="0" fillId="0" borderId="1" xfId="0" applyFill="1" applyBorder="1" applyAlignment="1">
      <alignment horizontal="left"/>
    </xf>
    <xf numFmtId="0" fontId="0" fillId="0" borderId="1" xfId="0" applyBorder="1" applyAlignment="1">
      <alignment horizontal="left"/>
    </xf>
    <xf numFmtId="0" fontId="3" fillId="0" borderId="2"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4" fillId="9" borderId="2" xfId="0" quotePrefix="1" applyFont="1" applyFill="1" applyBorder="1" applyAlignment="1">
      <alignment horizontal="left"/>
    </xf>
    <xf numFmtId="0" fontId="4" fillId="9" borderId="4" xfId="0" quotePrefix="1" applyFont="1" applyFill="1" applyBorder="1" applyAlignment="1">
      <alignment horizontal="left"/>
    </xf>
    <xf numFmtId="0" fontId="4" fillId="9" borderId="3" xfId="0" quotePrefix="1" applyFont="1" applyFill="1" applyBorder="1" applyAlignment="1">
      <alignment horizontal="left"/>
    </xf>
    <xf numFmtId="0" fontId="1" fillId="9" borderId="1" xfId="0" applyFont="1" applyFill="1" applyBorder="1" applyAlignment="1"/>
    <xf numFmtId="0" fontId="0" fillId="9" borderId="1" xfId="0" applyFill="1" applyBorder="1" applyAlignment="1"/>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164" fontId="1" fillId="8" borderId="5" xfId="0" applyNumberFormat="1" applyFont="1" applyFill="1" applyBorder="1" applyAlignment="1">
      <alignment horizontal="center" vertical="center" wrapText="1"/>
    </xf>
    <xf numFmtId="164" fontId="1" fillId="8" borderId="12" xfId="0" applyNumberFormat="1" applyFont="1" applyFill="1" applyBorder="1" applyAlignment="1">
      <alignment horizontal="center" vertical="center" wrapText="1"/>
    </xf>
    <xf numFmtId="164" fontId="1" fillId="8" borderId="7"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0" fillId="0" borderId="1" xfId="0" applyFill="1" applyBorder="1" applyAlignment="1">
      <alignment horizontal="left" vertical="center"/>
    </xf>
    <xf numFmtId="164" fontId="1" fillId="0" borderId="1" xfId="0" applyNumberFormat="1" applyFont="1" applyFill="1" applyBorder="1" applyAlignment="1">
      <alignment horizontal="center" vertical="center"/>
    </xf>
    <xf numFmtId="0" fontId="1" fillId="9"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9" borderId="8" xfId="0"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xf>
    <xf numFmtId="0" fontId="25" fillId="0" borderId="1" xfId="0" applyFont="1" applyFill="1" applyBorder="1" applyAlignment="1">
      <alignment horizontal="left" vertical="center" wrapText="1"/>
    </xf>
    <xf numFmtId="0" fontId="5" fillId="0" borderId="10"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164" fontId="5" fillId="0" borderId="1" xfId="0" applyNumberFormat="1" applyFont="1" applyFill="1" applyBorder="1" applyAlignment="1">
      <alignment vertical="center"/>
    </xf>
    <xf numFmtId="0" fontId="0" fillId="9" borderId="2" xfId="0" applyFill="1" applyBorder="1" applyAlignment="1">
      <alignment vertical="center"/>
    </xf>
    <xf numFmtId="0" fontId="0" fillId="9" borderId="4" xfId="0" applyFill="1" applyBorder="1" applyAlignment="1">
      <alignment vertical="center"/>
    </xf>
    <xf numFmtId="0" fontId="0" fillId="9" borderId="3" xfId="0" applyFill="1" applyBorder="1" applyAlignment="1">
      <alignmen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horizontal="left" vertical="center"/>
    </xf>
    <xf numFmtId="0" fontId="0" fillId="0" borderId="2" xfId="0" applyFill="1" applyBorder="1" applyAlignment="1">
      <alignment horizontal="left" vertical="center"/>
    </xf>
    <xf numFmtId="0" fontId="0" fillId="0" borderId="6" xfId="0" applyFill="1" applyBorder="1" applyAlignment="1">
      <alignment horizontal="left" vertical="center"/>
    </xf>
    <xf numFmtId="0" fontId="7" fillId="9" borderId="1" xfId="0" applyFont="1" applyFill="1" applyBorder="1" applyAlignment="1">
      <alignment horizontal="center" vertical="center"/>
    </xf>
    <xf numFmtId="0" fontId="0" fillId="9"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4" fontId="5" fillId="0" borderId="2" xfId="0" applyNumberFormat="1" applyFont="1" applyFill="1" applyBorder="1" applyAlignment="1">
      <alignment vertical="center"/>
    </xf>
    <xf numFmtId="164" fontId="5" fillId="0" borderId="3" xfId="0" applyNumberFormat="1" applyFont="1" applyFill="1" applyBorder="1" applyAlignment="1">
      <alignment vertical="center"/>
    </xf>
    <xf numFmtId="0" fontId="0" fillId="0" borderId="3" xfId="0" applyFill="1" applyBorder="1" applyAlignment="1">
      <alignment horizontal="left"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1" fillId="9" borderId="2" xfId="0" applyFont="1" applyFill="1" applyBorder="1" applyAlignment="1">
      <alignment vertical="center"/>
    </xf>
    <xf numFmtId="0" fontId="15"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0" fillId="0" borderId="11" xfId="0" applyBorder="1" applyAlignment="1">
      <alignment vertical="center" wrapText="1"/>
    </xf>
    <xf numFmtId="0" fontId="1" fillId="9" borderId="2" xfId="0" applyFont="1" applyFill="1" applyBorder="1" applyAlignment="1">
      <alignment horizontal="left" vertical="center"/>
    </xf>
    <xf numFmtId="0" fontId="0" fillId="9" borderId="4" xfId="0" applyFill="1" applyBorder="1" applyAlignment="1">
      <alignment horizontal="left" vertical="center"/>
    </xf>
    <xf numFmtId="0" fontId="0" fillId="9" borderId="3" xfId="0" applyFill="1" applyBorder="1" applyAlignment="1">
      <alignment horizontal="left" vertical="center"/>
    </xf>
    <xf numFmtId="0" fontId="4" fillId="9" borderId="2" xfId="0" quotePrefix="1" applyFont="1" applyFill="1" applyBorder="1" applyAlignment="1">
      <alignment horizontal="left" vertical="center"/>
    </xf>
    <xf numFmtId="0" fontId="4" fillId="9" borderId="4" xfId="0" quotePrefix="1" applyFont="1" applyFill="1" applyBorder="1" applyAlignment="1">
      <alignment horizontal="left" vertical="center"/>
    </xf>
    <xf numFmtId="0" fontId="4" fillId="9" borderId="3" xfId="0" quotePrefix="1" applyFont="1" applyFill="1" applyBorder="1" applyAlignment="1">
      <alignment horizontal="left" vertical="center"/>
    </xf>
    <xf numFmtId="164" fontId="1" fillId="8" borderId="6" xfId="0" applyNumberFormat="1"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0" fillId="8" borderId="2" xfId="0" applyFill="1" applyBorder="1" applyAlignment="1">
      <alignment horizontal="left" vertical="center"/>
    </xf>
    <xf numFmtId="0" fontId="0" fillId="8" borderId="3" xfId="0" applyFill="1" applyBorder="1" applyAlignment="1">
      <alignment horizontal="left" vertical="center"/>
    </xf>
    <xf numFmtId="164" fontId="5" fillId="8" borderId="20" xfId="0" applyNumberFormat="1" applyFont="1" applyFill="1" applyBorder="1" applyAlignment="1" applyProtection="1">
      <alignment horizontal="center" vertical="center" wrapText="1"/>
      <protection locked="0"/>
    </xf>
    <xf numFmtId="0" fontId="3" fillId="0" borderId="7" xfId="0" applyFont="1" applyFill="1" applyBorder="1" applyAlignment="1">
      <alignment horizontal="left" vertical="center"/>
    </xf>
    <xf numFmtId="0" fontId="0" fillId="8" borderId="6" xfId="0" applyFill="1" applyBorder="1" applyAlignment="1">
      <alignment horizontal="left" vertical="center"/>
    </xf>
    <xf numFmtId="164" fontId="1" fillId="0" borderId="1" xfId="0" applyNumberFormat="1" applyFont="1" applyFill="1" applyBorder="1" applyAlignment="1">
      <alignment vertical="center"/>
    </xf>
    <xf numFmtId="164" fontId="1" fillId="0" borderId="9" xfId="0" applyNumberFormat="1" applyFont="1" applyFill="1" applyBorder="1" applyAlignment="1">
      <alignment vertical="center"/>
    </xf>
    <xf numFmtId="0" fontId="28" fillId="0" borderId="20" xfId="0" applyFont="1" applyFill="1" applyBorder="1" applyAlignment="1">
      <alignment horizontal="center" vertic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xf>
    <xf numFmtId="0" fontId="3" fillId="0" borderId="5" xfId="0" applyFont="1" applyFill="1" applyBorder="1" applyAlignment="1">
      <alignment horizontal="left"/>
    </xf>
    <xf numFmtId="0" fontId="3" fillId="0" borderId="11" xfId="0" applyFont="1" applyFill="1" applyBorder="1" applyAlignment="1">
      <alignment horizontal="left"/>
    </xf>
    <xf numFmtId="0" fontId="3" fillId="0" borderId="14" xfId="0" applyFont="1" applyFill="1" applyBorder="1" applyAlignment="1">
      <alignment horizontal="center"/>
    </xf>
    <xf numFmtId="2" fontId="1" fillId="0" borderId="1" xfId="0" applyNumberFormat="1" applyFont="1" applyFill="1" applyBorder="1" applyAlignment="1">
      <alignment horizontal="center"/>
    </xf>
    <xf numFmtId="0" fontId="24" fillId="0" borderId="14" xfId="0" applyFont="1" applyFill="1" applyBorder="1" applyAlignment="1">
      <alignment horizontal="center"/>
    </xf>
    <xf numFmtId="0" fontId="24" fillId="0" borderId="4" xfId="0" applyFont="1" applyFill="1" applyBorder="1" applyAlignment="1">
      <alignment horizontal="center"/>
    </xf>
    <xf numFmtId="0" fontId="24" fillId="0" borderId="3" xfId="0" applyFont="1" applyFill="1" applyBorder="1" applyAlignment="1">
      <alignment horizontal="center"/>
    </xf>
    <xf numFmtId="164" fontId="1" fillId="0" borderId="1" xfId="0" applyNumberFormat="1" applyFont="1" applyBorder="1" applyAlignment="1" applyProtection="1">
      <alignment horizontal="center"/>
      <protection locked="0"/>
    </xf>
    <xf numFmtId="0" fontId="7" fillId="0" borderId="1" xfId="0" applyFont="1"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3" fillId="0" borderId="2" xfId="0" applyFont="1" applyBorder="1" applyAlignment="1">
      <alignment horizontal="center"/>
    </xf>
    <xf numFmtId="0" fontId="3" fillId="0" borderId="14"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center"/>
    </xf>
    <xf numFmtId="9" fontId="1" fillId="0" borderId="9" xfId="0" applyNumberFormat="1" applyFont="1" applyBorder="1" applyAlignment="1" applyProtection="1">
      <alignment horizontal="center"/>
      <protection locked="0"/>
    </xf>
    <xf numFmtId="0" fontId="2" fillId="0" borderId="1" xfId="0" applyFont="1" applyFill="1" applyBorder="1" applyAlignment="1">
      <alignment horizontal="center"/>
    </xf>
    <xf numFmtId="2" fontId="1" fillId="0" borderId="2" xfId="0" applyNumberFormat="1" applyFont="1" applyFill="1" applyBorder="1" applyAlignment="1">
      <alignment horizontal="center"/>
    </xf>
    <xf numFmtId="2" fontId="1" fillId="0" borderId="3" xfId="0" applyNumberFormat="1" applyFont="1" applyFill="1" applyBorder="1" applyAlignment="1">
      <alignment horizontal="center"/>
    </xf>
    <xf numFmtId="0" fontId="3" fillId="0" borderId="1" xfId="0" applyFont="1" applyBorder="1" applyAlignment="1">
      <alignment horizontal="left" vertical="center"/>
    </xf>
    <xf numFmtId="0" fontId="7" fillId="0" borderId="9"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9" fontId="28" fillId="0" borderId="20" xfId="0" applyNumberFormat="1" applyFont="1" applyFill="1" applyBorder="1" applyAlignment="1" applyProtection="1">
      <alignment horizontal="center"/>
      <protection locked="0"/>
    </xf>
    <xf numFmtId="0" fontId="2" fillId="0" borderId="9" xfId="0" applyFont="1" applyBorder="1" applyAlignment="1">
      <alignment horizontal="center" wrapText="1"/>
    </xf>
    <xf numFmtId="0" fontId="2" fillId="0" borderId="10" xfId="0" applyFont="1" applyBorder="1" applyAlignment="1">
      <alignment horizontal="center" wrapText="1"/>
    </xf>
    <xf numFmtId="0" fontId="28" fillId="0" borderId="20" xfId="0" applyFont="1" applyBorder="1" applyAlignment="1">
      <alignment horizontal="center"/>
    </xf>
    <xf numFmtId="0" fontId="28" fillId="0" borderId="20" xfId="0" applyFont="1" applyBorder="1" applyAlignment="1">
      <alignment horizontal="center" vertical="center" wrapText="1"/>
    </xf>
    <xf numFmtId="0" fontId="0" fillId="11" borderId="2" xfId="0" applyFill="1" applyBorder="1" applyAlignment="1"/>
    <xf numFmtId="0" fontId="0" fillId="11" borderId="4" xfId="0" applyFill="1" applyBorder="1" applyAlignment="1"/>
    <xf numFmtId="0" fontId="0" fillId="7" borderId="2" xfId="0" applyFill="1" applyBorder="1" applyAlignment="1"/>
    <xf numFmtId="0" fontId="0" fillId="7" borderId="4" xfId="0" applyFill="1" applyBorder="1" applyAlignment="1"/>
    <xf numFmtId="0" fontId="0" fillId="7" borderId="3" xfId="0" applyFill="1" applyBorder="1" applyAlignment="1"/>
    <xf numFmtId="0" fontId="12" fillId="3" borderId="1" xfId="0" applyFont="1" applyFill="1" applyBorder="1" applyAlignment="1">
      <alignment horizontal="center"/>
    </xf>
    <xf numFmtId="0" fontId="3" fillId="0" borderId="5" xfId="0" applyFont="1" applyBorder="1" applyAlignment="1">
      <alignment vertical="center" wrapText="1"/>
    </xf>
    <xf numFmtId="0" fontId="0" fillId="0" borderId="11" xfId="0" applyBorder="1" applyAlignment="1"/>
    <xf numFmtId="0" fontId="0" fillId="0" borderId="6" xfId="0" applyBorder="1" applyAlignment="1"/>
    <xf numFmtId="0" fontId="0" fillId="0" borderId="12" xfId="0" applyBorder="1" applyAlignment="1"/>
    <xf numFmtId="0" fontId="0" fillId="0" borderId="0" xfId="0" applyAlignment="1"/>
    <xf numFmtId="0" fontId="0" fillId="0" borderId="13" xfId="0" applyBorder="1" applyAlignment="1"/>
    <xf numFmtId="0" fontId="0" fillId="0" borderId="7" xfId="0" applyBorder="1" applyAlignment="1"/>
    <xf numFmtId="0" fontId="0" fillId="0" borderId="14" xfId="0" applyBorder="1" applyAlignment="1"/>
    <xf numFmtId="0" fontId="0" fillId="0" borderId="8" xfId="0" applyBorder="1" applyAlignment="1"/>
    <xf numFmtId="0" fontId="0" fillId="0" borderId="2" xfId="0" applyFill="1" applyBorder="1" applyAlignment="1">
      <alignment horizontal="left"/>
    </xf>
    <xf numFmtId="0" fontId="0" fillId="0" borderId="4" xfId="0" applyFill="1" applyBorder="1" applyAlignment="1">
      <alignment horizontal="left"/>
    </xf>
    <xf numFmtId="0" fontId="0" fillId="0" borderId="3" xfId="0"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 fillId="9" borderId="2" xfId="0" applyFont="1" applyFill="1" applyBorder="1" applyAlignment="1"/>
    <xf numFmtId="0" fontId="0" fillId="9" borderId="4" xfId="0" applyFill="1" applyBorder="1" applyAlignment="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cellXfs>
  <cellStyles count="4">
    <cellStyle name="Currency" xfId="2" builtinId="4"/>
    <cellStyle name="Hyperlink" xfId="1" builtinId="8"/>
    <cellStyle name="Normal" xfId="0" builtinId="0"/>
    <cellStyle name="Percent" xfId="3" builtinId="5"/>
  </cellStyles>
  <dxfs count="125">
    <dxf>
      <font>
        <color theme="0"/>
      </font>
    </dxf>
    <dxf>
      <font>
        <color theme="0"/>
      </font>
      <fill>
        <patternFill patternType="none">
          <bgColor auto="1"/>
        </patternFill>
      </fill>
      <border>
        <left/>
        <right/>
        <top/>
        <bottom/>
        <vertical/>
        <horizontal/>
      </border>
    </dxf>
    <dxf>
      <font>
        <b val="0"/>
        <i/>
        <color rgb="FFFF0000"/>
      </font>
      <fill>
        <patternFill patternType="none">
          <bgColor auto="1"/>
        </patternFill>
      </fill>
      <border>
        <left/>
        <right/>
        <top/>
        <bottom/>
        <vertical/>
        <horizontal/>
      </border>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FF"/>
      </font>
    </dxf>
    <dxf>
      <font>
        <color rgb="FFCCFFFF"/>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fill>
        <patternFill patternType="none">
          <bgColor auto="1"/>
        </patternFill>
      </fill>
      <border>
        <left/>
        <right/>
        <top/>
        <bottom/>
        <vertical/>
        <horizontal/>
      </border>
    </dxf>
    <dxf>
      <font>
        <b val="0"/>
        <i/>
        <color rgb="FFFF000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FF"/>
      </font>
    </dxf>
    <dxf>
      <font>
        <color theme="0"/>
      </font>
    </dxf>
    <dxf>
      <font>
        <color theme="0"/>
      </font>
    </dxf>
    <dxf>
      <font>
        <color theme="0"/>
      </font>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fill>
        <patternFill patternType="none">
          <bgColor auto="1"/>
        </patternFill>
      </fill>
      <border>
        <left/>
        <right/>
        <top/>
        <bottom/>
        <vertical/>
        <horizontal/>
      </border>
    </dxf>
    <dxf>
      <font>
        <b val="0"/>
        <i/>
        <color rgb="FFFF0000"/>
      </font>
      <fill>
        <patternFill patternType="none">
          <bgColor auto="1"/>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FF"/>
      </font>
    </dxf>
    <dxf>
      <font>
        <color theme="0"/>
      </font>
    </dxf>
    <dxf>
      <font>
        <color theme="0"/>
      </font>
    </dxf>
    <dxf>
      <font>
        <color theme="0"/>
      </font>
    </dxf>
    <dxf>
      <font>
        <color theme="0"/>
      </font>
    </dxf>
    <dxf>
      <font>
        <color theme="0"/>
      </font>
    </dxf>
    <dxf>
      <font>
        <color theme="0"/>
      </font>
      <fill>
        <patternFill patternType="none">
          <bgColor auto="1"/>
        </patternFill>
      </fill>
      <border>
        <left/>
        <right/>
        <top/>
        <bottom/>
        <vertical/>
        <horizontal/>
      </border>
    </dxf>
    <dxf>
      <font>
        <b val="0"/>
        <i/>
        <color rgb="FFFF0000"/>
      </font>
      <fill>
        <patternFill patternType="none">
          <bgColor auto="1"/>
        </patternFill>
      </fill>
      <border>
        <left/>
        <right/>
        <top/>
        <bottom/>
        <vertical/>
        <horizontal/>
      </border>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FF"/>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99CCFF"/>
      <color rgb="FFCCFFFF"/>
      <color rgb="FFEAEAEA"/>
      <color rgb="FF0000FF"/>
      <color rgb="FF000080"/>
      <color rgb="FFBFEEFD"/>
      <color rgb="FFFFFFB9"/>
      <color rgb="FFFFFF99"/>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263769</xdr:colOff>
      <xdr:row>2</xdr:row>
      <xdr:rowOff>146539</xdr:rowOff>
    </xdr:from>
    <xdr:to>
      <xdr:col>9</xdr:col>
      <xdr:colOff>2933</xdr:colOff>
      <xdr:row>6</xdr:row>
      <xdr:rowOff>160265</xdr:rowOff>
    </xdr:to>
    <xdr:pic>
      <xdr:nvPicPr>
        <xdr:cNvPr id="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29154" y="586154"/>
          <a:ext cx="3278067" cy="658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mantha.Kindred@uky.edu" TargetMode="External"/><Relationship Id="rId1" Type="http://schemas.openxmlformats.org/officeDocument/2006/relationships/hyperlink" Target="mailto:Greg.Halich@uky.ed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showGridLines="0" tabSelected="1" zoomScale="130" workbookViewId="0">
      <selection activeCell="J4" sqref="J4"/>
    </sheetView>
  </sheetViews>
  <sheetFormatPr defaultRowHeight="12.75" x14ac:dyDescent="0.2"/>
  <cols>
    <col min="1" max="1" width="3.7109375" style="340" customWidth="1"/>
    <col min="2" max="3" width="9.140625" style="340"/>
    <col min="4" max="4" width="7.42578125" style="340" customWidth="1"/>
    <col min="5" max="9" width="9.140625" style="340"/>
    <col min="10" max="10" width="14.7109375" style="340" customWidth="1"/>
    <col min="11" max="16384" width="9.140625" style="340"/>
  </cols>
  <sheetData>
    <row r="1" spans="2:11" ht="13.15" customHeight="1" x14ac:dyDescent="0.2"/>
    <row r="2" spans="2:11" ht="21.75" customHeight="1" x14ac:dyDescent="0.2">
      <c r="B2" s="529" t="s">
        <v>466</v>
      </c>
      <c r="C2" s="529"/>
      <c r="D2" s="529"/>
      <c r="E2" s="529"/>
      <c r="F2" s="529"/>
      <c r="G2" s="529"/>
      <c r="H2" s="529"/>
      <c r="I2" s="529"/>
      <c r="J2" s="529"/>
      <c r="K2" s="529"/>
    </row>
    <row r="8" spans="2:11" x14ac:dyDescent="0.2">
      <c r="B8" s="530"/>
      <c r="C8" s="530"/>
      <c r="D8" s="530"/>
      <c r="E8" s="530"/>
      <c r="F8" s="530"/>
      <c r="G8" s="530"/>
      <c r="H8" s="530"/>
      <c r="I8" s="530"/>
      <c r="J8" s="530"/>
      <c r="K8" s="530"/>
    </row>
    <row r="9" spans="2:11" x14ac:dyDescent="0.2">
      <c r="C9" s="341"/>
      <c r="D9" s="531" t="s">
        <v>131</v>
      </c>
      <c r="E9" s="531"/>
      <c r="F9" s="531"/>
      <c r="G9" s="531"/>
      <c r="H9" s="531"/>
      <c r="I9" s="531"/>
      <c r="J9" s="341"/>
    </row>
    <row r="10" spans="2:11" x14ac:dyDescent="0.2">
      <c r="C10" s="341" t="s">
        <v>132</v>
      </c>
      <c r="D10" s="341"/>
      <c r="E10" s="341"/>
      <c r="F10" s="200"/>
      <c r="G10" s="200"/>
      <c r="H10" s="200"/>
      <c r="I10" s="342" t="s">
        <v>306</v>
      </c>
      <c r="J10" s="341"/>
    </row>
    <row r="11" spans="2:11" x14ac:dyDescent="0.2">
      <c r="C11" s="341" t="s">
        <v>169</v>
      </c>
      <c r="D11" s="341"/>
      <c r="E11" s="341"/>
      <c r="F11" s="200"/>
      <c r="G11" s="200"/>
      <c r="H11" s="200"/>
      <c r="I11" s="342" t="s">
        <v>309</v>
      </c>
      <c r="J11" s="341"/>
    </row>
    <row r="12" spans="2:11" x14ac:dyDescent="0.2">
      <c r="C12" s="200" t="s">
        <v>133</v>
      </c>
      <c r="D12" s="200"/>
      <c r="E12" s="341"/>
      <c r="F12" s="341"/>
      <c r="G12" s="341"/>
      <c r="H12" s="341"/>
      <c r="I12" s="200" t="s">
        <v>307</v>
      </c>
      <c r="J12" s="341"/>
    </row>
    <row r="13" spans="2:11" x14ac:dyDescent="0.2">
      <c r="C13" s="341" t="s">
        <v>134</v>
      </c>
      <c r="D13" s="341"/>
      <c r="E13" s="341"/>
      <c r="F13" s="341"/>
      <c r="G13" s="341"/>
      <c r="H13" s="341"/>
      <c r="I13" s="342" t="s">
        <v>308</v>
      </c>
      <c r="J13" s="341"/>
    </row>
    <row r="14" spans="2:11" x14ac:dyDescent="0.2">
      <c r="D14" s="343"/>
      <c r="E14" s="343"/>
      <c r="F14" s="343"/>
      <c r="G14" s="343"/>
      <c r="H14" s="343"/>
      <c r="I14" s="343"/>
      <c r="J14" s="343"/>
      <c r="K14" s="343"/>
    </row>
    <row r="15" spans="2:11" x14ac:dyDescent="0.2">
      <c r="C15" s="344" t="s">
        <v>441</v>
      </c>
      <c r="D15" s="343"/>
      <c r="E15" s="343"/>
      <c r="F15" s="343"/>
      <c r="G15" s="343"/>
      <c r="H15" s="343"/>
      <c r="I15" s="343"/>
      <c r="J15" s="343"/>
      <c r="K15" s="343"/>
    </row>
    <row r="16" spans="2:11" x14ac:dyDescent="0.2">
      <c r="C16" s="344" t="s">
        <v>440</v>
      </c>
      <c r="D16" s="343"/>
      <c r="E16" s="343"/>
      <c r="F16" s="343"/>
      <c r="G16" s="343"/>
      <c r="H16" s="343"/>
      <c r="I16" s="343"/>
      <c r="J16" s="343"/>
      <c r="K16" s="343"/>
    </row>
    <row r="17" spans="2:13" x14ac:dyDescent="0.2">
      <c r="C17" s="343" t="s">
        <v>136</v>
      </c>
      <c r="D17" s="343"/>
      <c r="E17" s="343"/>
      <c r="F17" s="343"/>
      <c r="G17" s="343"/>
      <c r="H17" s="343"/>
      <c r="I17" s="343"/>
      <c r="J17" s="343"/>
      <c r="K17" s="343"/>
    </row>
    <row r="18" spans="2:13" x14ac:dyDescent="0.2">
      <c r="D18" s="343"/>
      <c r="E18" s="343"/>
      <c r="F18" s="343"/>
      <c r="G18" s="343"/>
      <c r="H18" s="343"/>
      <c r="I18" s="343"/>
      <c r="J18" s="343"/>
      <c r="K18" s="343"/>
    </row>
    <row r="19" spans="2:13" x14ac:dyDescent="0.2">
      <c r="D19" s="343"/>
      <c r="E19" s="343"/>
      <c r="F19" s="343"/>
      <c r="G19" s="343"/>
      <c r="H19" s="343"/>
      <c r="I19" s="343"/>
      <c r="J19" s="343"/>
      <c r="K19" s="343"/>
    </row>
    <row r="20" spans="2:13" s="345" customFormat="1" x14ac:dyDescent="0.2">
      <c r="B20" s="532" t="s">
        <v>468</v>
      </c>
      <c r="C20" s="532"/>
      <c r="D20" s="532"/>
      <c r="E20" s="532"/>
      <c r="F20" s="532"/>
      <c r="G20" s="532"/>
      <c r="H20" s="532"/>
      <c r="I20" s="532"/>
      <c r="J20" s="532"/>
      <c r="K20" s="532"/>
    </row>
    <row r="21" spans="2:13" x14ac:dyDescent="0.2">
      <c r="C21" s="346"/>
      <c r="D21" s="347"/>
      <c r="E21" s="347"/>
      <c r="F21" s="347"/>
      <c r="G21" s="347"/>
      <c r="H21" s="347"/>
      <c r="I21" s="347"/>
      <c r="J21" s="347"/>
      <c r="K21" s="347"/>
      <c r="L21" s="347"/>
      <c r="M21" s="347"/>
    </row>
    <row r="22" spans="2:13" x14ac:dyDescent="0.2">
      <c r="C22" s="347"/>
      <c r="D22" s="347"/>
      <c r="E22" s="347"/>
      <c r="F22" s="347"/>
      <c r="G22" s="347"/>
      <c r="H22" s="347"/>
      <c r="I22" s="347"/>
      <c r="J22" s="347"/>
      <c r="K22" s="347"/>
      <c r="L22" s="347"/>
      <c r="M22" s="347"/>
    </row>
  </sheetData>
  <sheetProtection algorithmName="SHA-512" hashValue="zQP0tWsPK8Ojg6B0wT6fDkh+AbeJ6WfPWLhI8ZxUvQab1zyYMtLJzk8yQ0u+irs3mjevU4KHnnXIC2VOtgxXWQ==" saltValue="lg1nIr7leru3NAAdW8XYCw==" spinCount="100000" sheet="1" objects="1" scenarios="1" formatCells="0" formatColumns="0" formatRows="0"/>
  <mergeCells count="4">
    <mergeCell ref="B2:K2"/>
    <mergeCell ref="B8:K8"/>
    <mergeCell ref="D9:I9"/>
    <mergeCell ref="B20:K20"/>
  </mergeCells>
  <phoneticPr fontId="6" type="noConversion"/>
  <hyperlinks>
    <hyperlink ref="C12" r:id="rId1"/>
    <hyperlink ref="I12" r:id="rId2"/>
  </hyperlinks>
  <pageMargins left="0.75" right="0.75" top="1" bottom="1" header="0.5" footer="0.5"/>
  <pageSetup orientation="portrait" horizontalDpi="1200" verticalDpi="1200"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7"/>
  <sheetViews>
    <sheetView showGridLines="0" workbookViewId="0">
      <selection activeCell="N15" sqref="N15"/>
    </sheetView>
  </sheetViews>
  <sheetFormatPr defaultColWidth="9.140625" defaultRowHeight="12.75" x14ac:dyDescent="0.2"/>
  <cols>
    <col min="1" max="1" width="3.7109375" style="421" customWidth="1"/>
    <col min="2" max="2" width="37.5703125" style="421" customWidth="1"/>
    <col min="3" max="5" width="8.28515625" style="421" customWidth="1"/>
    <col min="6" max="6" width="3.7109375" style="421" customWidth="1"/>
    <col min="7" max="8" width="14.7109375" style="421" customWidth="1"/>
    <col min="9" max="9" width="18" style="421" customWidth="1"/>
    <col min="10" max="11" width="14.7109375" style="421" customWidth="1"/>
    <col min="12" max="12" width="11.28515625" style="421" customWidth="1"/>
    <col min="13" max="13" width="3.7109375" style="421" customWidth="1"/>
    <col min="14" max="14" width="23.42578125" style="421" customWidth="1"/>
    <col min="15" max="16" width="8.7109375" style="421" customWidth="1"/>
    <col min="17" max="17" width="5.7109375" style="421" customWidth="1"/>
    <col min="18" max="21" width="14.7109375" style="421" customWidth="1"/>
    <col min="22" max="22" width="12.7109375" style="421" customWidth="1"/>
    <col min="23" max="16384" width="9.140625" style="421"/>
  </cols>
  <sheetData>
    <row r="2" spans="2:14" ht="15.75" x14ac:dyDescent="0.25">
      <c r="B2" s="612" t="s">
        <v>418</v>
      </c>
      <c r="C2" s="612"/>
      <c r="D2" s="612"/>
      <c r="E2" s="612"/>
      <c r="F2" s="612"/>
      <c r="G2" s="612"/>
      <c r="H2" s="612"/>
      <c r="I2" s="612"/>
      <c r="J2" s="612"/>
      <c r="K2" s="612"/>
      <c r="L2" s="612"/>
      <c r="M2" s="420"/>
      <c r="N2" s="420"/>
    </row>
    <row r="3" spans="2:14" ht="5.0999999999999996" customHeight="1" x14ac:dyDescent="0.25">
      <c r="B3" s="611"/>
      <c r="C3" s="611"/>
      <c r="D3" s="611"/>
      <c r="E3" s="611"/>
      <c r="F3" s="611"/>
      <c r="G3" s="611"/>
      <c r="H3" s="611"/>
      <c r="I3" s="611"/>
      <c r="J3" s="611"/>
      <c r="K3" s="611"/>
      <c r="L3" s="611"/>
      <c r="M3" s="420"/>
      <c r="N3" s="420"/>
    </row>
    <row r="4" spans="2:14" ht="12.95" customHeight="1" x14ac:dyDescent="0.2">
      <c r="B4" s="98"/>
      <c r="C4" s="642"/>
      <c r="D4" s="642"/>
      <c r="E4" s="644" t="s">
        <v>127</v>
      </c>
      <c r="F4" s="644"/>
      <c r="G4" s="644"/>
      <c r="H4" s="644"/>
      <c r="I4" s="644"/>
      <c r="J4" s="644"/>
      <c r="K4" s="644"/>
      <c r="L4" s="644"/>
      <c r="M4" s="94"/>
    </row>
    <row r="5" spans="2:14" ht="12.95" customHeight="1" x14ac:dyDescent="0.2">
      <c r="B5" s="98" t="s">
        <v>161</v>
      </c>
      <c r="C5" s="652">
        <v>1.75</v>
      </c>
      <c r="D5" s="652"/>
      <c r="E5" s="640" t="s">
        <v>317</v>
      </c>
      <c r="F5" s="640"/>
      <c r="G5" s="640"/>
      <c r="H5" s="640"/>
      <c r="I5" s="640"/>
      <c r="J5" s="640"/>
      <c r="K5" s="640"/>
      <c r="L5" s="640"/>
    </row>
    <row r="6" spans="2:14" ht="12.95" customHeight="1" thickBot="1" x14ac:dyDescent="0.25">
      <c r="B6" s="98" t="s">
        <v>162</v>
      </c>
      <c r="C6" s="622">
        <v>15</v>
      </c>
      <c r="D6" s="622"/>
      <c r="E6" s="640" t="s">
        <v>100</v>
      </c>
      <c r="F6" s="640"/>
      <c r="G6" s="640"/>
      <c r="H6" s="640"/>
      <c r="I6" s="640"/>
      <c r="J6" s="640"/>
      <c r="K6" s="640"/>
      <c r="L6" s="640"/>
    </row>
    <row r="7" spans="2:14" ht="12.95" customHeight="1" thickBot="1" x14ac:dyDescent="0.25">
      <c r="B7" s="422" t="s">
        <v>124</v>
      </c>
      <c r="C7" s="621" t="s">
        <v>51</v>
      </c>
      <c r="D7" s="621"/>
      <c r="E7" s="643" t="s">
        <v>254</v>
      </c>
      <c r="F7" s="640"/>
      <c r="G7" s="640"/>
      <c r="H7" s="640"/>
      <c r="I7" s="640"/>
      <c r="J7" s="640"/>
      <c r="K7" s="640"/>
      <c r="L7" s="640"/>
    </row>
    <row r="8" spans="2:14" ht="12.95" customHeight="1" x14ac:dyDescent="0.2">
      <c r="B8" s="98" t="s">
        <v>163</v>
      </c>
      <c r="C8" s="620">
        <v>12.5</v>
      </c>
      <c r="D8" s="620"/>
      <c r="E8" s="624" t="s">
        <v>99</v>
      </c>
      <c r="F8" s="624"/>
      <c r="G8" s="624"/>
      <c r="H8" s="624"/>
      <c r="I8" s="624"/>
      <c r="J8" s="624"/>
      <c r="K8" s="624"/>
      <c r="L8" s="624"/>
    </row>
    <row r="9" spans="2:14" ht="12.95" customHeight="1" thickBot="1" x14ac:dyDescent="0.25">
      <c r="B9" s="98" t="s">
        <v>70</v>
      </c>
      <c r="C9" s="619">
        <v>0</v>
      </c>
      <c r="D9" s="619"/>
      <c r="E9" s="624" t="s">
        <v>107</v>
      </c>
      <c r="F9" s="624"/>
      <c r="G9" s="624"/>
      <c r="H9" s="624"/>
      <c r="I9" s="624"/>
      <c r="J9" s="624"/>
      <c r="K9" s="624"/>
      <c r="L9" s="624"/>
    </row>
    <row r="10" spans="2:14" ht="12.95" customHeight="1" thickBot="1" x14ac:dyDescent="0.25">
      <c r="B10" s="423" t="s">
        <v>454</v>
      </c>
      <c r="C10" s="647" t="s">
        <v>366</v>
      </c>
      <c r="D10" s="647"/>
      <c r="E10" s="645" t="s">
        <v>457</v>
      </c>
      <c r="F10" s="646"/>
      <c r="G10" s="646"/>
      <c r="H10" s="646"/>
      <c r="I10" s="646"/>
      <c r="J10" s="646"/>
      <c r="K10" s="646"/>
      <c r="L10" s="646"/>
    </row>
    <row r="11" spans="2:14" ht="12.95" customHeight="1" x14ac:dyDescent="0.2">
      <c r="B11" s="100" t="s">
        <v>455</v>
      </c>
      <c r="C11" s="424">
        <v>0.75</v>
      </c>
      <c r="D11" s="472">
        <v>0.75</v>
      </c>
      <c r="E11" s="624" t="s">
        <v>343</v>
      </c>
      <c r="F11" s="624"/>
      <c r="G11" s="624"/>
      <c r="H11" s="624"/>
      <c r="I11" s="624"/>
      <c r="J11" s="624"/>
      <c r="K11" s="624"/>
      <c r="L11" s="624"/>
    </row>
    <row r="12" spans="2:14" ht="12.95" customHeight="1" x14ac:dyDescent="0.2">
      <c r="B12" s="100" t="s">
        <v>456</v>
      </c>
      <c r="C12" s="425">
        <v>0.35</v>
      </c>
      <c r="D12" s="473">
        <v>0.35</v>
      </c>
      <c r="E12" s="629" t="s">
        <v>406</v>
      </c>
      <c r="F12" s="630"/>
      <c r="G12" s="630"/>
      <c r="H12" s="630"/>
      <c r="I12" s="630"/>
      <c r="J12" s="630"/>
      <c r="K12" s="630"/>
      <c r="L12" s="631"/>
    </row>
    <row r="13" spans="2:14" x14ac:dyDescent="0.2">
      <c r="B13" s="94"/>
      <c r="C13" s="94"/>
      <c r="D13" s="94"/>
      <c r="E13" s="94"/>
      <c r="F13" s="94"/>
      <c r="G13" s="623"/>
      <c r="H13" s="623"/>
      <c r="I13" s="623"/>
      <c r="J13" s="623"/>
      <c r="K13" s="623"/>
      <c r="L13" s="623"/>
      <c r="M13" s="623"/>
    </row>
    <row r="14" spans="2:14" ht="15.75" x14ac:dyDescent="0.25">
      <c r="B14" s="612" t="str">
        <f>IF('Non-GMO'!I21='Non-GMO'!D61,"Machinery Operations - Non-GMO","Machinery Calculations is not currently visible because user has selected N for Calculate Machinery Costs. This can be changed on the Non-GMO sheet.")</f>
        <v>Machinery Operations - Non-GMO</v>
      </c>
      <c r="C14" s="612"/>
      <c r="D14" s="612"/>
      <c r="E14" s="612"/>
      <c r="F14" s="612"/>
      <c r="G14" s="612"/>
      <c r="H14" s="612"/>
      <c r="I14" s="612"/>
      <c r="J14" s="612"/>
      <c r="K14" s="612"/>
      <c r="L14" s="612"/>
    </row>
    <row r="15" spans="2:14" ht="5.0999999999999996" customHeight="1" thickBot="1" x14ac:dyDescent="0.3">
      <c r="B15" s="611"/>
      <c r="C15" s="641"/>
      <c r="D15" s="641"/>
      <c r="E15" s="641"/>
      <c r="F15" s="611"/>
      <c r="G15" s="611"/>
      <c r="H15" s="611"/>
      <c r="I15" s="611"/>
      <c r="J15" s="611"/>
      <c r="K15" s="611"/>
      <c r="L15" s="611"/>
    </row>
    <row r="16" spans="2:14" ht="12.95" customHeight="1" thickBot="1" x14ac:dyDescent="0.25">
      <c r="B16" s="426" t="s">
        <v>350</v>
      </c>
      <c r="C16" s="614" t="s">
        <v>226</v>
      </c>
      <c r="D16" s="614"/>
      <c r="E16" s="614"/>
      <c r="F16" s="427"/>
      <c r="G16" s="615" t="s">
        <v>387</v>
      </c>
      <c r="H16" s="615"/>
      <c r="I16" s="615"/>
      <c r="J16" s="615"/>
      <c r="K16" s="615"/>
      <c r="L16" s="615"/>
      <c r="M16" s="428"/>
      <c r="N16" s="344"/>
    </row>
    <row r="17" spans="1:14" ht="12.95" customHeight="1" thickBot="1" x14ac:dyDescent="0.25">
      <c r="A17" s="429"/>
      <c r="B17" s="430" t="s">
        <v>390</v>
      </c>
      <c r="C17" s="613" t="s">
        <v>366</v>
      </c>
      <c r="D17" s="613"/>
      <c r="E17" s="613"/>
      <c r="F17" s="431"/>
      <c r="G17" s="616" t="s">
        <v>386</v>
      </c>
      <c r="H17" s="617"/>
      <c r="I17" s="617"/>
      <c r="J17" s="617"/>
      <c r="K17" s="617"/>
      <c r="L17" s="618"/>
      <c r="M17" s="432"/>
      <c r="N17" s="94"/>
    </row>
    <row r="18" spans="1:14" ht="5.0999999999999996" customHeight="1" thickBot="1" x14ac:dyDescent="0.25">
      <c r="A18" s="429"/>
      <c r="B18" s="625"/>
      <c r="C18" s="626"/>
      <c r="D18" s="626"/>
      <c r="E18" s="626"/>
      <c r="F18" s="627"/>
      <c r="G18" s="627"/>
      <c r="H18" s="627"/>
      <c r="I18" s="627"/>
      <c r="J18" s="627"/>
      <c r="K18" s="627"/>
      <c r="L18" s="628"/>
      <c r="M18" s="428"/>
    </row>
    <row r="19" spans="1:14" ht="12.95" customHeight="1" thickBot="1" x14ac:dyDescent="0.25">
      <c r="B19" s="98" t="s">
        <v>126</v>
      </c>
      <c r="C19" s="650"/>
      <c r="D19" s="651"/>
      <c r="E19" s="98"/>
      <c r="F19" s="422"/>
      <c r="G19" s="479" t="s">
        <v>79</v>
      </c>
      <c r="H19" s="479" t="s">
        <v>79</v>
      </c>
      <c r="I19" s="479" t="s">
        <v>79</v>
      </c>
      <c r="J19" s="479" t="s">
        <v>79</v>
      </c>
      <c r="K19" s="479" t="s">
        <v>79</v>
      </c>
      <c r="L19" s="433"/>
      <c r="M19" s="434"/>
    </row>
    <row r="20" spans="1:14" ht="12.95" customHeight="1" x14ac:dyDescent="0.2">
      <c r="B20" s="98" t="s">
        <v>125</v>
      </c>
      <c r="C20" s="650"/>
      <c r="D20" s="651"/>
      <c r="E20" s="610" t="s">
        <v>50</v>
      </c>
      <c r="F20" s="422"/>
      <c r="G20" s="480">
        <v>0</v>
      </c>
      <c r="H20" s="480">
        <v>0</v>
      </c>
      <c r="I20" s="480">
        <v>0</v>
      </c>
      <c r="J20" s="480">
        <v>0</v>
      </c>
      <c r="K20" s="480">
        <v>0</v>
      </c>
      <c r="L20" s="433"/>
      <c r="M20" s="94"/>
    </row>
    <row r="21" spans="1:14" ht="12.95" customHeight="1" thickBot="1" x14ac:dyDescent="0.25">
      <c r="B21" s="435" t="s">
        <v>235</v>
      </c>
      <c r="C21" s="648" t="s">
        <v>232</v>
      </c>
      <c r="D21" s="649"/>
      <c r="E21" s="610"/>
      <c r="F21" s="363"/>
      <c r="G21" s="436" t="s">
        <v>233</v>
      </c>
      <c r="H21" s="437" t="s">
        <v>8</v>
      </c>
      <c r="I21" s="437" t="s">
        <v>323</v>
      </c>
      <c r="J21" s="436" t="s">
        <v>234</v>
      </c>
      <c r="K21" s="436" t="s">
        <v>50</v>
      </c>
      <c r="L21" s="438" t="s">
        <v>246</v>
      </c>
      <c r="M21" s="439"/>
    </row>
    <row r="22" spans="1:14" ht="12.95" customHeight="1" thickBot="1" x14ac:dyDescent="0.25">
      <c r="B22" s="100" t="s">
        <v>142</v>
      </c>
      <c r="C22" s="440">
        <f>IF($C$16=$B$69,'Machinery Calc (Non-GMO)'!B32,'Machinery Calc (Non-GMO)'!C40)</f>
        <v>1</v>
      </c>
      <c r="D22" s="474">
        <v>1</v>
      </c>
      <c r="E22" s="475" t="s">
        <v>90</v>
      </c>
      <c r="F22" s="441"/>
      <c r="G22" s="442">
        <f>IF(C16=B69,'Machinery Calc (Non-GMO)'!U32,'Machinery Calc (Non-GMO)'!U40)</f>
        <v>1.6014468749999997</v>
      </c>
      <c r="H22" s="442">
        <f>IF(C16=B69,'Machinery Calc (Non-GMO)'!X32,'Machinery Calc (Non-GMO)'!X40)</f>
        <v>5.5868648229166675</v>
      </c>
      <c r="I22" s="443">
        <f>IF(C16=B69,'Machinery Calc (Non-GMO)'!Y32,'Machinery Calc (Non-GMO)'!Y40)</f>
        <v>11.343028579861112</v>
      </c>
      <c r="J22" s="442">
        <f>IF(C16=B69,'Machinery Calc (Non-GMO)'!V32+'Machinery Calc (Non-GMO)'!W32,'Machinery Calc (Non-GMO)'!V40+'Machinery Calc (Non-GMO)'!W40)</f>
        <v>1.7697222222222222</v>
      </c>
      <c r="K22" s="442">
        <f>IF(C16=B69,'Machinery Calc (Non-GMO)'!Z32,'Machinery Calc (Non-GMO)'!Z40)</f>
        <v>0</v>
      </c>
      <c r="L22" s="455">
        <f t="shared" ref="L22:L29" si="0">SUM(G22:K22)</f>
        <v>20.3010625</v>
      </c>
      <c r="M22" s="94"/>
    </row>
    <row r="23" spans="1:14" ht="12.95" customHeight="1" thickBot="1" x14ac:dyDescent="0.25">
      <c r="B23" s="100" t="s">
        <v>280</v>
      </c>
      <c r="C23" s="440">
        <f>IF($C$16=$B$69,'Machinery Calc (Non-GMO)'!B63,'Machinery Calc (Non-GMO)'!C63)</f>
        <v>2.5</v>
      </c>
      <c r="D23" s="476">
        <v>2.5</v>
      </c>
      <c r="E23" s="475" t="s">
        <v>90</v>
      </c>
      <c r="F23" s="445"/>
      <c r="G23" s="442">
        <f>'Machinery Calc (Non-GMO)'!U63</f>
        <v>0.59494531250000005</v>
      </c>
      <c r="H23" s="442">
        <f>'Machinery Calc (Non-GMO)'!X63</f>
        <v>5.5398414843750015</v>
      </c>
      <c r="I23" s="443">
        <f>'Machinery Calc (Non-GMO)'!Y63</f>
        <v>11.247556953124999</v>
      </c>
      <c r="J23" s="442">
        <f>'Machinery Calc (Non-GMO)'!V63+'Machinery Calc (Non-GMO)'!W63</f>
        <v>1.29375</v>
      </c>
      <c r="K23" s="442">
        <f>'Machinery Calc (Non-GMO)'!Z63</f>
        <v>0</v>
      </c>
      <c r="L23" s="455">
        <f t="shared" si="0"/>
        <v>18.67609375</v>
      </c>
      <c r="M23" s="94"/>
    </row>
    <row r="24" spans="1:14" ht="12.95" customHeight="1" thickBot="1" x14ac:dyDescent="0.25">
      <c r="B24" s="100" t="s">
        <v>392</v>
      </c>
      <c r="C24" s="440">
        <f>IF($C$16=$B$69,'Machinery Calc (Non-GMO)'!B56,'Machinery Calc (Non-GMO)'!C56)</f>
        <v>2</v>
      </c>
      <c r="D24" s="476">
        <v>2</v>
      </c>
      <c r="E24" s="475" t="s">
        <v>90</v>
      </c>
      <c r="F24" s="441"/>
      <c r="G24" s="442">
        <f>'Machinery Calc (Non-GMO)'!U56</f>
        <v>1.3074745263203018</v>
      </c>
      <c r="H24" s="442">
        <f>'Machinery Calc (Non-GMO)'!X56</f>
        <v>3.3593742673206259</v>
      </c>
      <c r="I24" s="443">
        <f>'Machinery Calc (Non-GMO)'!Y56</f>
        <v>6.820547754863088</v>
      </c>
      <c r="J24" s="442">
        <f>'Machinery Calc (Non-GMO)'!V56+'Machinery Calc (Non-GMO)'!W56</f>
        <v>1.3501842556797974</v>
      </c>
      <c r="K24" s="442">
        <f>'Machinery Calc (Non-GMO)'!Z56</f>
        <v>0</v>
      </c>
      <c r="L24" s="455">
        <f t="shared" si="0"/>
        <v>12.837580804183814</v>
      </c>
      <c r="M24" s="95"/>
    </row>
    <row r="25" spans="1:14" ht="12.95" customHeight="1" thickBot="1" x14ac:dyDescent="0.25">
      <c r="B25" s="100" t="s">
        <v>393</v>
      </c>
      <c r="C25" s="440">
        <f>IF($C$16=$B$69,'Machinery Calc (Non-GMO)'!B59,'Machinery Calc (Non-GMO)'!C59)</f>
        <v>0</v>
      </c>
      <c r="D25" s="476">
        <v>0</v>
      </c>
      <c r="E25" s="475" t="s">
        <v>90</v>
      </c>
      <c r="F25" s="441"/>
      <c r="G25" s="442">
        <f>'Machinery Calc (Non-GMO)'!U59</f>
        <v>0</v>
      </c>
      <c r="H25" s="442">
        <f>'Machinery Calc (Non-GMO)'!X59</f>
        <v>0</v>
      </c>
      <c r="I25" s="443">
        <f>'Machinery Calc (Non-GMO)'!Y59</f>
        <v>0</v>
      </c>
      <c r="J25" s="442">
        <f>'Machinery Calc (Non-GMO)'!V59+'Machinery Calc (Non-GMO)'!W59</f>
        <v>0</v>
      </c>
      <c r="K25" s="442">
        <f>'Machinery Calc (Non-GMO)'!Z59</f>
        <v>0</v>
      </c>
      <c r="L25" s="455">
        <f t="shared" si="0"/>
        <v>0</v>
      </c>
      <c r="M25" s="95"/>
    </row>
    <row r="26" spans="1:14" ht="12.95" customHeight="1" thickBot="1" x14ac:dyDescent="0.25">
      <c r="B26" s="100" t="s">
        <v>305</v>
      </c>
      <c r="C26" s="440">
        <f>IF($C$16=$B$69,'Machinery Calc (Non-GMO)'!B47,'Machinery Calc (Non-GMO)'!C47)</f>
        <v>1</v>
      </c>
      <c r="D26" s="476">
        <v>1</v>
      </c>
      <c r="E26" s="475" t="s">
        <v>90</v>
      </c>
      <c r="F26" s="441"/>
      <c r="G26" s="442">
        <f>'Machinery Calc (Non-GMO)'!U47</f>
        <v>4.5276218749999995</v>
      </c>
      <c r="H26" s="442">
        <f>'Machinery Calc (Non-GMO)'!X47</f>
        <v>7.9658137395833331</v>
      </c>
      <c r="I26" s="443">
        <f>'Machinery Calc (Non-GMO)'!Y47</f>
        <v>16.173015774305554</v>
      </c>
      <c r="J26" s="442">
        <f>'Machinery Calc (Non-GMO)'!V47+'Machinery Calc (Non-GMO)'!W47</f>
        <v>3.2711111111111109</v>
      </c>
      <c r="K26" s="442">
        <f>'Machinery Calc (Non-GMO)'!Z47</f>
        <v>0</v>
      </c>
      <c r="L26" s="455">
        <f t="shared" si="0"/>
        <v>31.937562499999999</v>
      </c>
      <c r="M26" s="95"/>
    </row>
    <row r="27" spans="1:14" ht="12.95" customHeight="1" thickBot="1" x14ac:dyDescent="0.25">
      <c r="B27" s="100" t="s">
        <v>47</v>
      </c>
      <c r="C27" s="440">
        <f>IF($C$16=$B$69,'Machinery Calc (Non-GMO)'!B50,'Machinery Calc (Non-GMO)'!C50)</f>
        <v>1</v>
      </c>
      <c r="D27" s="476">
        <v>1</v>
      </c>
      <c r="E27" s="475" t="s">
        <v>90</v>
      </c>
      <c r="F27" s="441"/>
      <c r="G27" s="442">
        <f>'Machinery Calc (Non-GMO)'!U50</f>
        <v>0.32200000000000001</v>
      </c>
      <c r="H27" s="442">
        <f>'Machinery Calc (Non-GMO)'!X50</f>
        <v>1.1262900000000002</v>
      </c>
      <c r="I27" s="443">
        <f>'Machinery Calc (Non-GMO)'!Y50</f>
        <v>2.2867100000000002</v>
      </c>
      <c r="J27" s="442">
        <f>'Machinery Calc (Non-GMO)'!V50+'Machinery Calc (Non-GMO)'!W50</f>
        <v>1.7249999999999999</v>
      </c>
      <c r="K27" s="442">
        <f>'Machinery Calc (Non-GMO)'!Z50</f>
        <v>0</v>
      </c>
      <c r="L27" s="455">
        <f t="shared" si="0"/>
        <v>5.46</v>
      </c>
      <c r="M27" s="95"/>
    </row>
    <row r="28" spans="1:14" ht="12.95" customHeight="1" thickBot="1" x14ac:dyDescent="0.25">
      <c r="B28" s="100" t="s">
        <v>329</v>
      </c>
      <c r="C28" s="440">
        <f>IF($C$16=$B$69,'Machinery Calc (Non-GMO)'!B25,'Machinery Calc (Non-GMO)'!C25)</f>
        <v>0</v>
      </c>
      <c r="D28" s="476">
        <v>2</v>
      </c>
      <c r="E28" s="475" t="s">
        <v>90</v>
      </c>
      <c r="F28" s="441"/>
      <c r="G28" s="442">
        <f>'Machinery Calc (Non-GMO)'!U25</f>
        <v>0</v>
      </c>
      <c r="H28" s="442">
        <f>'Machinery Calc (Non-GMO)'!X25</f>
        <v>0</v>
      </c>
      <c r="I28" s="443">
        <f>'Machinery Calc (Non-GMO)'!Y25</f>
        <v>0</v>
      </c>
      <c r="J28" s="442">
        <f>'Machinery Calc (Non-GMO)'!V25+'Machinery Calc (Non-GMO)'!W25</f>
        <v>0</v>
      </c>
      <c r="K28" s="442">
        <f>'Machinery Calc (Non-GMO)'!Z25</f>
        <v>0</v>
      </c>
      <c r="L28" s="455">
        <f t="shared" si="0"/>
        <v>0</v>
      </c>
      <c r="M28" s="94"/>
    </row>
    <row r="29" spans="1:14" ht="12.95" customHeight="1" thickBot="1" x14ac:dyDescent="0.25">
      <c r="B29" s="100" t="s">
        <v>291</v>
      </c>
      <c r="C29" s="440"/>
      <c r="D29" s="477"/>
      <c r="E29" s="478" t="s">
        <v>90</v>
      </c>
      <c r="F29" s="445"/>
      <c r="G29" s="442">
        <f>'Machinery Calc (Non-GMO)'!U51</f>
        <v>6.1773157894736839</v>
      </c>
      <c r="H29" s="442">
        <f>'Machinery Calc (Non-GMO)'!X51</f>
        <v>6.3146239952119547</v>
      </c>
      <c r="I29" s="443">
        <f>'Machinery Calc (Non-GMO)'!Y51</f>
        <v>12.820600232703059</v>
      </c>
      <c r="J29" s="442">
        <f>'Machinery Calc (Non-GMO)'!V51+'Machinery Calc (Non-GMO)'!W51</f>
        <v>8.2421052631578959</v>
      </c>
      <c r="K29" s="442">
        <f>'Machinery Calc (Non-GMO)'!Z51</f>
        <v>0</v>
      </c>
      <c r="L29" s="455">
        <f t="shared" si="0"/>
        <v>33.554645280546595</v>
      </c>
      <c r="M29" s="94"/>
    </row>
    <row r="30" spans="1:14" ht="5.0999999999999996" customHeight="1" x14ac:dyDescent="0.2">
      <c r="B30" s="636"/>
      <c r="C30" s="637"/>
      <c r="D30" s="637"/>
      <c r="E30" s="638"/>
      <c r="F30" s="637"/>
      <c r="G30" s="637"/>
      <c r="H30" s="637"/>
      <c r="I30" s="637"/>
      <c r="J30" s="637"/>
      <c r="K30" s="637"/>
      <c r="L30" s="639"/>
      <c r="M30" s="94"/>
    </row>
    <row r="31" spans="1:14" ht="12.95" customHeight="1" thickBot="1" x14ac:dyDescent="0.25">
      <c r="B31" s="632" t="s">
        <v>371</v>
      </c>
      <c r="C31" s="633"/>
      <c r="D31" s="633"/>
      <c r="E31" s="634"/>
      <c r="F31" s="633"/>
      <c r="G31" s="633"/>
      <c r="H31" s="633"/>
      <c r="I31" s="633"/>
      <c r="J31" s="633"/>
      <c r="K31" s="633"/>
      <c r="L31" s="635"/>
      <c r="M31" s="94"/>
    </row>
    <row r="32" spans="1:14" ht="12.95" customHeight="1" thickBot="1" x14ac:dyDescent="0.25">
      <c r="B32" s="481" t="s">
        <v>367</v>
      </c>
      <c r="C32" s="446">
        <f>IF(B32=G51,L51,IF(B32=G52,L52,0))</f>
        <v>0</v>
      </c>
      <c r="D32" s="476">
        <v>0.5</v>
      </c>
      <c r="E32" s="475" t="s">
        <v>90</v>
      </c>
      <c r="F32" s="445"/>
      <c r="G32" s="447">
        <f>IF(B32=G50,0,IF(B32=G51,IF(C16=B69,'Machinery Calc (Non-GMO)'!U37,'Machinery Calc (Non-GMO)'!U44),IF(B32=G52,IF(C16=B69,'Machinery Calc (Non-GMO)'!U36,'Machinery Calc (Non-GMO)'!U43))))</f>
        <v>0</v>
      </c>
      <c r="H32" s="447">
        <f>IF(B32=G50,0,IF(B32=G51,IF(C16=B69,'Machinery Calc (Non-GMO)'!X37,'Machinery Calc (Non-GMO)'!X44),IF(B32=G52,IF(C16=B69,'Machinery Calc (Non-GMO)'!X36,'Machinery Calc (Non-GMO)'!X43))))</f>
        <v>0</v>
      </c>
      <c r="I32" s="448">
        <f>IF(B32=G50,0,IF(B32=G51,IF(C16=B69,'Machinery Calc (Non-GMO)'!Y37,'Machinery Calc (Non-GMO)'!Y44),IF(B32=G52,IF(C16=B69,'Machinery Calc (Non-GMO)'!Y36,'Machinery Calc (Non-GMO)'!Y43))))</f>
        <v>0</v>
      </c>
      <c r="J32" s="447">
        <f>IF(B32=G50,0,IF(B32=G51,IF(C16=B69,'Machinery Calc (Non-GMO)'!V37+'Machinery Calc (Non-GMO)'!W37,'Machinery Calc (Non-GMO)'!V44+'Machinery Calc (Non-GMO)'!W44),IF(B32=G52,IF(C16=B69,'Machinery Calc (Non-GMO)'!V36+'Machinery Calc (Non-GMO)'!W36,'Machinery Calc (Non-GMO)'!V43+'Machinery Calc (Non-GMO)'!W43))))</f>
        <v>0</v>
      </c>
      <c r="K32" s="447">
        <f>IF(B32=G50,0,IF(B32=G51,IF(C16=B69,'Machinery Calc (Non-GMO)'!Z37,'Machinery Calc (Non-GMO)'!Z44),IF(B32=G52,IF(C16=B69,'Machinery Calc (Non-GMO)'!Z36,'Machinery Calc (Non-GMO)'!Z43))))</f>
        <v>0</v>
      </c>
      <c r="L32" s="455">
        <f>SUM(G32:K32)</f>
        <v>0</v>
      </c>
      <c r="M32" s="94"/>
      <c r="N32" s="449" t="s">
        <v>331</v>
      </c>
    </row>
    <row r="33" spans="2:18" ht="12.95" customHeight="1" thickBot="1" x14ac:dyDescent="0.25">
      <c r="B33" s="481" t="s">
        <v>369</v>
      </c>
      <c r="C33" s="446">
        <f>IF(B33=G53,0,IF(C16=B68,'Machinery Calc (Non-GMO)'!C29,'Machinery Calc (Non-GMO)'!B29))</f>
        <v>0</v>
      </c>
      <c r="D33" s="476">
        <v>0.5</v>
      </c>
      <c r="E33" s="475" t="s">
        <v>90</v>
      </c>
      <c r="F33" s="450"/>
      <c r="G33" s="447">
        <f>IF(B33=G54,'Machinery Calc (Non-GMO)'!U29,0)</f>
        <v>0</v>
      </c>
      <c r="H33" s="447">
        <f>IF(B33=G54,'Machinery Calc (Non-GMO)'!X29,0)</f>
        <v>0</v>
      </c>
      <c r="I33" s="448">
        <f>IF(B33=G54,'Machinery Calc (Non-GMO)'!Y29,0)</f>
        <v>0</v>
      </c>
      <c r="J33" s="447">
        <f>IF(B33=G54,'Machinery Calc (Non-GMO)'!V29+'Machinery Calc (Non-GMO)'!W29,0)</f>
        <v>0</v>
      </c>
      <c r="K33" s="447">
        <f>IF(B33=G54,'Machinery Calc (Non-GMO)'!Z29,0)</f>
        <v>0</v>
      </c>
      <c r="L33" s="455">
        <f>SUM(G33:K33)</f>
        <v>0</v>
      </c>
      <c r="N33" s="449" t="s">
        <v>331</v>
      </c>
    </row>
    <row r="34" spans="2:18" ht="12.95" customHeight="1" thickBot="1" x14ac:dyDescent="0.25">
      <c r="B34" s="481" t="s">
        <v>363</v>
      </c>
      <c r="C34" s="446">
        <f>IF(B34=G56,'Machinery Calc (Non-GMO)'!B21,IF(B34=G57,'Machinery Calc (Non-GMO)'!B22,IF(B34=G58,'Machinery Calc (Non-GMO)'!B27,0)))</f>
        <v>0</v>
      </c>
      <c r="D34" s="476">
        <v>0.5</v>
      </c>
      <c r="E34" s="475" t="s">
        <v>90</v>
      </c>
      <c r="F34" s="445"/>
      <c r="G34" s="447">
        <f>IF(B34=G56,'Machinery Calc (Non-GMO)'!U21,IF(B34=G57,'Machinery Calc (Non-GMO)'!U22,IF(B34=G58,'Machinery Calc (Non-GMO)'!U27,0)))</f>
        <v>0</v>
      </c>
      <c r="H34" s="447">
        <f>IF(B34=G56,'Machinery Calc (Non-GMO)'!X21,IF(B34=G57,'Machinery Calc (Non-GMO)'!X22,IF(B34=G58,'Machinery Calc (Non-GMO)'!X27,0)))</f>
        <v>0</v>
      </c>
      <c r="I34" s="448">
        <f>IF(B34=G56,'Machinery Calc (Non-GMO)'!Y21,IF(B34=G57,'Machinery Calc (Non-GMO)'!Y22,IF(B34=G58,'Machinery Calc (Non-GMO)'!Y27,0)))</f>
        <v>0</v>
      </c>
      <c r="J34" s="447">
        <f>IF(B34=G56,'Machinery Calc (Non-GMO)'!V21+'Machinery Calc (Non-GMO)'!W21,IF(B34=G57,'Machinery Calc (Non-GMO)'!V22+'Machinery Calc (Non-GMO)'!W22,IF(B34=G58,'Machinery Calc (Non-GMO)'!V27+'Machinery Calc (Non-GMO)'!W27,0)))</f>
        <v>0</v>
      </c>
      <c r="K34" s="447">
        <f>IF(B34=G56,'Machinery Calc (Non-GMO)'!Z21,IF(B34=G57,'Machinery Calc (Non-GMO)'!Z22,IF(B34=G58,'Machinery Calc (Non-GMO)'!Z27,0)))</f>
        <v>0</v>
      </c>
      <c r="L34" s="455">
        <f>SUM(G34:K34)</f>
        <v>0</v>
      </c>
      <c r="M34" s="94"/>
      <c r="N34" s="449" t="s">
        <v>331</v>
      </c>
    </row>
    <row r="35" spans="2:18" ht="12.95" customHeight="1" thickBot="1" x14ac:dyDescent="0.25">
      <c r="B35" s="481" t="s">
        <v>363</v>
      </c>
      <c r="C35" s="451">
        <f>IF(B35=G60,'Machinery Calc (Non-GMO)'!B21,IF(B35=G61,'Machinery Calc (Non-GMO)'!B22,IF(B35=G62,'Machinery Calc (Non-GMO)'!B27,0)))</f>
        <v>0</v>
      </c>
      <c r="D35" s="476">
        <v>0.5</v>
      </c>
      <c r="E35" s="475" t="s">
        <v>90</v>
      </c>
      <c r="F35" s="445"/>
      <c r="G35" s="447">
        <f>IF(B35=G60,'Machinery Calc (Non-GMO)'!U21,IF(B35=G61,'Machinery Calc (Non-GMO)'!U22,IF(B35=G62,'Machinery Calc (Non-GMO)'!U27,0)))</f>
        <v>0</v>
      </c>
      <c r="H35" s="447">
        <f>IF(B35=G60,'Machinery Calc (Non-GMO)'!X21,IF(B35=G61,'Machinery Calc (Non-GMO)'!X22,IF(B35=G62,'Machinery Calc (Non-GMO)'!X27,0)))</f>
        <v>0</v>
      </c>
      <c r="I35" s="448">
        <f>IF(B35=G60,'Machinery Calc (Non-GMO)'!Y21,IF(B35=G61,'Machinery Calc (Non-GMO)'!Y22,IF(B35=G62,'Machinery Calc (Non-GMO)'!Y27,0)))</f>
        <v>0</v>
      </c>
      <c r="J35" s="447">
        <f>IF(B35=G60,'Machinery Calc (Non-GMO)'!V21+'Machinery Calc (Non-GMO)'!W21,IF(B35=G61,'Machinery Calc (Non-GMO)'!V22+'Machinery Calc (Non-GMO)'!W22,IF(B35=G62,'Machinery Calc (Non-GMO)'!V27+'Machinery Calc (Non-GMO)'!W27,0)))</f>
        <v>0</v>
      </c>
      <c r="K35" s="447">
        <f>IF(B35=G60,'Machinery Calc (Non-GMO)'!Z21,IF(B35=G61,'Machinery Calc (Non-GMO)'!Z22,IF(B35=G62,'Machinery Calc (Non-GMO)'!Z27,0)))</f>
        <v>0</v>
      </c>
      <c r="L35" s="455">
        <f>SUM(G35:K35)</f>
        <v>0</v>
      </c>
      <c r="M35" s="94"/>
      <c r="N35" s="449" t="s">
        <v>331</v>
      </c>
    </row>
    <row r="36" spans="2:18" ht="12.95" customHeight="1" x14ac:dyDescent="0.2">
      <c r="B36" s="452"/>
      <c r="C36" s="653" t="s">
        <v>460</v>
      </c>
      <c r="D36" s="654"/>
      <c r="E36" s="660"/>
      <c r="F36" s="661"/>
      <c r="G36" s="661"/>
      <c r="H36" s="661"/>
      <c r="I36" s="661"/>
      <c r="J36" s="661"/>
      <c r="K36" s="661"/>
      <c r="L36" s="654"/>
      <c r="M36" s="94"/>
    </row>
    <row r="37" spans="2:18" ht="12.95" customHeight="1" x14ac:dyDescent="0.2">
      <c r="B37" s="100" t="s">
        <v>458</v>
      </c>
      <c r="C37" s="655">
        <f>IF(C10=B73,C11,D11)</f>
        <v>0.75</v>
      </c>
      <c r="D37" s="656"/>
      <c r="E37" s="453"/>
      <c r="F37" s="454"/>
      <c r="G37" s="447" t="s">
        <v>288</v>
      </c>
      <c r="H37" s="447" t="s">
        <v>288</v>
      </c>
      <c r="I37" s="443" t="s">
        <v>288</v>
      </c>
      <c r="J37" s="447">
        <f>'Machinery Calc (Non-GMO)'!V71+'Machinery Calc (Non-GMO)'!W71</f>
        <v>11.25</v>
      </c>
      <c r="K37" s="443" t="s">
        <v>288</v>
      </c>
      <c r="L37" s="455">
        <f>SUM(G37:K37)</f>
        <v>11.25</v>
      </c>
      <c r="M37" s="94"/>
      <c r="N37" s="94"/>
      <c r="O37" s="94"/>
      <c r="P37" s="94"/>
      <c r="Q37" s="94"/>
      <c r="R37" s="94"/>
    </row>
    <row r="38" spans="2:18" ht="12.95" customHeight="1" x14ac:dyDescent="0.2">
      <c r="B38" s="454" t="s">
        <v>459</v>
      </c>
      <c r="C38" s="655">
        <f>IF(C10=B73,C12,D12)</f>
        <v>0.35</v>
      </c>
      <c r="D38" s="656"/>
      <c r="E38" s="456"/>
      <c r="F38" s="100"/>
      <c r="G38" s="447">
        <f>'Machinery Calc (Non-GMO)'!U72</f>
        <v>0.61249999999999993</v>
      </c>
      <c r="H38" s="447" t="s">
        <v>288</v>
      </c>
      <c r="I38" s="443" t="s">
        <v>288</v>
      </c>
      <c r="J38" s="448" t="s">
        <v>288</v>
      </c>
      <c r="K38" s="443" t="s">
        <v>288</v>
      </c>
      <c r="L38" s="455">
        <f>SUM(G38:K38)</f>
        <v>0.61249999999999993</v>
      </c>
      <c r="M38" s="94"/>
      <c r="N38" s="94"/>
      <c r="O38" s="94"/>
      <c r="P38" s="94"/>
      <c r="Q38" s="94"/>
      <c r="R38" s="94"/>
    </row>
    <row r="39" spans="2:18" ht="12.95" customHeight="1" x14ac:dyDescent="0.2">
      <c r="B39" s="636"/>
      <c r="C39" s="637"/>
      <c r="D39" s="637"/>
      <c r="E39" s="637"/>
      <c r="F39" s="637"/>
      <c r="G39" s="637"/>
      <c r="H39" s="637"/>
      <c r="I39" s="637"/>
      <c r="J39" s="637"/>
      <c r="K39" s="637"/>
      <c r="L39" s="639"/>
      <c r="M39" s="94"/>
      <c r="N39" s="94"/>
      <c r="O39" s="94"/>
      <c r="P39" s="94"/>
      <c r="Q39" s="94"/>
      <c r="R39" s="94"/>
    </row>
    <row r="40" spans="2:18" ht="12.95" customHeight="1" x14ac:dyDescent="0.2">
      <c r="B40" s="657" t="s">
        <v>332</v>
      </c>
      <c r="C40" s="658"/>
      <c r="D40" s="658"/>
      <c r="E40" s="658"/>
      <c r="F40" s="659"/>
      <c r="G40" s="457">
        <f t="shared" ref="G40:L40" si="1">SUM(G22:G38)</f>
        <v>15.143304378293987</v>
      </c>
      <c r="H40" s="457">
        <f t="shared" si="1"/>
        <v>29.892808309407584</v>
      </c>
      <c r="I40" s="458">
        <f t="shared" si="1"/>
        <v>60.691459294857808</v>
      </c>
      <c r="J40" s="457">
        <f t="shared" si="1"/>
        <v>28.901872852171024</v>
      </c>
      <c r="K40" s="457">
        <f t="shared" si="1"/>
        <v>0</v>
      </c>
      <c r="L40" s="455">
        <f t="shared" si="1"/>
        <v>134.62944483473041</v>
      </c>
      <c r="M40" s="94"/>
      <c r="N40" s="94"/>
      <c r="O40" s="94"/>
      <c r="P40" s="94"/>
      <c r="Q40" s="94"/>
      <c r="R40" s="94"/>
    </row>
    <row r="41" spans="2:18" x14ac:dyDescent="0.2">
      <c r="B41" s="459"/>
      <c r="C41" s="95"/>
      <c r="D41" s="460"/>
      <c r="E41" s="460"/>
      <c r="F41" s="95"/>
      <c r="G41" s="461"/>
      <c r="H41" s="461"/>
      <c r="I41" s="461"/>
      <c r="J41" s="461"/>
      <c r="K41" s="461"/>
      <c r="L41" s="461"/>
      <c r="M41" s="94"/>
      <c r="N41" s="94"/>
      <c r="O41" s="94"/>
      <c r="P41" s="94"/>
      <c r="Q41" s="94"/>
      <c r="R41" s="94"/>
    </row>
    <row r="42" spans="2:18" x14ac:dyDescent="0.2">
      <c r="B42" s="459"/>
      <c r="C42" s="95"/>
      <c r="D42" s="460"/>
      <c r="E42" s="460"/>
      <c r="F42" s="95"/>
      <c r="G42" s="461"/>
      <c r="H42" s="461"/>
      <c r="I42" s="461"/>
      <c r="J42" s="461"/>
      <c r="K42" s="461"/>
      <c r="L42" s="461"/>
      <c r="M42" s="94"/>
      <c r="N42" s="94"/>
      <c r="O42" s="94"/>
      <c r="P42" s="94"/>
      <c r="Q42" s="94"/>
      <c r="R42" s="94"/>
    </row>
    <row r="43" spans="2:18" x14ac:dyDescent="0.2">
      <c r="B43" s="459"/>
      <c r="C43" s="95"/>
      <c r="D43" s="462"/>
      <c r="E43" s="460"/>
      <c r="F43" s="95"/>
      <c r="G43" s="461"/>
      <c r="H43" s="461"/>
      <c r="I43" s="461"/>
      <c r="J43" s="461"/>
      <c r="K43" s="461"/>
      <c r="L43" s="461"/>
      <c r="M43" s="94"/>
      <c r="N43" s="94"/>
      <c r="O43" s="94"/>
      <c r="P43" s="94"/>
      <c r="Q43" s="94"/>
      <c r="R43" s="94"/>
    </row>
    <row r="44" spans="2:18" x14ac:dyDescent="0.2">
      <c r="B44" s="459"/>
      <c r="C44" s="95"/>
      <c r="D44" s="462"/>
      <c r="E44" s="460"/>
      <c r="F44" s="95"/>
      <c r="G44" s="461"/>
      <c r="H44" s="461"/>
      <c r="I44" s="461"/>
      <c r="J44" s="461"/>
      <c r="K44" s="461"/>
      <c r="L44" s="461"/>
      <c r="M44" s="94"/>
      <c r="N44" s="94"/>
      <c r="O44" s="94"/>
      <c r="P44" s="94"/>
      <c r="Q44" s="94"/>
      <c r="R44" s="94"/>
    </row>
    <row r="45" spans="2:18" x14ac:dyDescent="0.2">
      <c r="B45" s="459"/>
      <c r="C45" s="95"/>
      <c r="D45" s="462"/>
      <c r="E45" s="460"/>
      <c r="F45" s="95"/>
      <c r="G45" s="461"/>
      <c r="H45" s="461"/>
      <c r="I45" s="461"/>
      <c r="J45" s="461"/>
      <c r="K45" s="461"/>
      <c r="L45" s="461"/>
      <c r="M45" s="94"/>
      <c r="N45" s="94"/>
      <c r="O45" s="94"/>
      <c r="P45" s="94"/>
      <c r="Q45" s="94"/>
      <c r="R45" s="94"/>
    </row>
    <row r="46" spans="2:18" x14ac:dyDescent="0.2">
      <c r="D46" s="462"/>
      <c r="E46" s="344"/>
      <c r="F46" s="344"/>
      <c r="G46" s="344"/>
      <c r="H46" s="344"/>
      <c r="M46" s="94"/>
      <c r="N46" s="94"/>
      <c r="O46" s="94"/>
      <c r="P46" s="94"/>
      <c r="Q46" s="94"/>
      <c r="R46" s="94"/>
    </row>
    <row r="48" spans="2:18" hidden="1" x14ac:dyDescent="0.2"/>
    <row r="49" spans="2:15" hidden="1" x14ac:dyDescent="0.2">
      <c r="B49" s="421" t="s">
        <v>51</v>
      </c>
      <c r="F49" s="340"/>
      <c r="G49" s="463"/>
      <c r="H49" s="463"/>
      <c r="I49" s="464" t="s">
        <v>228</v>
      </c>
      <c r="J49" s="464" t="s">
        <v>364</v>
      </c>
      <c r="K49" s="464"/>
      <c r="L49" s="421" t="s">
        <v>365</v>
      </c>
    </row>
    <row r="50" spans="2:15" hidden="1" x14ac:dyDescent="0.2">
      <c r="B50" s="421" t="s">
        <v>90</v>
      </c>
      <c r="F50" s="465" t="s">
        <v>346</v>
      </c>
      <c r="G50" s="94" t="s">
        <v>367</v>
      </c>
      <c r="H50" s="94"/>
      <c r="I50" s="466"/>
      <c r="J50" s="466"/>
      <c r="K50" s="466"/>
    </row>
    <row r="51" spans="2:15" hidden="1" x14ac:dyDescent="0.2">
      <c r="D51" s="94"/>
      <c r="E51" s="94"/>
      <c r="F51" s="340"/>
      <c r="G51" s="94" t="s">
        <v>358</v>
      </c>
      <c r="H51" s="94"/>
      <c r="I51" s="466">
        <f>IF(B32=G51,'Machinery Calc (Non-GMO)'!C44,0)</f>
        <v>0</v>
      </c>
      <c r="J51" s="466">
        <f>IF(B32=G51,'Machinery Calc (Non-GMO)'!B37,0)</f>
        <v>0</v>
      </c>
      <c r="K51" s="466"/>
      <c r="L51" s="421">
        <f>IF($C$16=$B$68,I51,J51)</f>
        <v>0</v>
      </c>
    </row>
    <row r="52" spans="2:15" hidden="1" x14ac:dyDescent="0.2">
      <c r="B52" s="421" t="s">
        <v>79</v>
      </c>
      <c r="D52" s="94"/>
      <c r="E52" s="94"/>
      <c r="F52" s="340"/>
      <c r="G52" s="344" t="s">
        <v>359</v>
      </c>
      <c r="H52" s="95"/>
      <c r="I52" s="466">
        <f>IF(B32=G52,'Machinery Calc (Non-GMO)'!C43,0)</f>
        <v>0</v>
      </c>
      <c r="J52" s="466">
        <f>IF(B32=G52,'Machinery Calc (Non-GMO)'!B36,0)</f>
        <v>0</v>
      </c>
      <c r="K52" s="466"/>
      <c r="L52" s="421">
        <f>IF($C$16=$B$68,I52,J52)</f>
        <v>0</v>
      </c>
    </row>
    <row r="53" spans="2:15" hidden="1" x14ac:dyDescent="0.2">
      <c r="B53" s="421" t="s">
        <v>80</v>
      </c>
      <c r="D53" s="94"/>
      <c r="E53" s="94"/>
      <c r="F53" s="465" t="s">
        <v>347</v>
      </c>
      <c r="G53" s="421" t="s">
        <v>369</v>
      </c>
      <c r="H53" s="94"/>
      <c r="I53" s="466">
        <f>IF(B33=G54,'Machinery Calc (Non-GMO)'!C29,0)</f>
        <v>0</v>
      </c>
      <c r="J53" s="466">
        <f>IF(B33=G54,'Machinery Calc (Non-GMO)'!B29,0)</f>
        <v>0</v>
      </c>
      <c r="K53" s="466"/>
    </row>
    <row r="54" spans="2:15" hidden="1" x14ac:dyDescent="0.2">
      <c r="B54" s="421" t="s">
        <v>255</v>
      </c>
      <c r="D54" s="94"/>
      <c r="E54" s="94"/>
      <c r="F54" s="340"/>
      <c r="G54" s="421" t="s">
        <v>368</v>
      </c>
      <c r="H54" s="95"/>
      <c r="I54" s="464"/>
      <c r="J54" s="464"/>
      <c r="K54" s="464"/>
    </row>
    <row r="55" spans="2:15" hidden="1" x14ac:dyDescent="0.2">
      <c r="D55" s="94"/>
      <c r="E55" s="94"/>
      <c r="F55" s="467" t="s">
        <v>351</v>
      </c>
      <c r="G55" s="95" t="s">
        <v>363</v>
      </c>
      <c r="H55" s="343"/>
      <c r="I55" s="464"/>
      <c r="J55" s="464"/>
      <c r="K55" s="464"/>
    </row>
    <row r="56" spans="2:15" hidden="1" x14ac:dyDescent="0.2">
      <c r="B56" s="421" t="s">
        <v>222</v>
      </c>
      <c r="D56" s="94"/>
      <c r="E56" s="94"/>
      <c r="F56" s="467"/>
      <c r="G56" s="344" t="s">
        <v>360</v>
      </c>
      <c r="H56" s="343"/>
      <c r="I56" s="464"/>
      <c r="J56" s="468"/>
      <c r="K56" s="468"/>
    </row>
    <row r="57" spans="2:15" hidden="1" x14ac:dyDescent="0.2">
      <c r="B57" s="421" t="s">
        <v>223</v>
      </c>
      <c r="D57" s="94"/>
      <c r="E57" s="94"/>
      <c r="F57" s="344"/>
      <c r="G57" s="95" t="s">
        <v>361</v>
      </c>
      <c r="H57" s="343"/>
      <c r="I57" s="464"/>
      <c r="J57" s="469"/>
      <c r="K57" s="469"/>
    </row>
    <row r="58" spans="2:15" hidden="1" x14ac:dyDescent="0.2">
      <c r="G58" s="95" t="s">
        <v>362</v>
      </c>
      <c r="H58" s="343"/>
      <c r="I58" s="464"/>
      <c r="J58" s="469"/>
      <c r="K58" s="469"/>
    </row>
    <row r="59" spans="2:15" hidden="1" x14ac:dyDescent="0.2">
      <c r="F59" s="467" t="s">
        <v>352</v>
      </c>
      <c r="G59" s="95" t="s">
        <v>363</v>
      </c>
      <c r="H59" s="343"/>
      <c r="I59" s="464"/>
      <c r="J59" s="469"/>
      <c r="K59" s="469"/>
    </row>
    <row r="60" spans="2:15" hidden="1" x14ac:dyDescent="0.2">
      <c r="F60" s="344"/>
      <c r="G60" s="344" t="s">
        <v>360</v>
      </c>
      <c r="H60" s="343"/>
      <c r="I60" s="464"/>
      <c r="J60" s="469"/>
      <c r="K60" s="469"/>
    </row>
    <row r="61" spans="2:15" hidden="1" x14ac:dyDescent="0.2">
      <c r="B61" s="421" t="s">
        <v>242</v>
      </c>
      <c r="F61" s="343"/>
      <c r="G61" s="95" t="s">
        <v>361</v>
      </c>
      <c r="H61" s="94"/>
      <c r="I61" s="464"/>
      <c r="J61" s="469"/>
      <c r="K61" s="469"/>
    </row>
    <row r="62" spans="2:15" hidden="1" x14ac:dyDescent="0.2">
      <c r="B62" s="421" t="s">
        <v>318</v>
      </c>
      <c r="F62" s="470"/>
      <c r="G62" s="95" t="s">
        <v>362</v>
      </c>
      <c r="I62" s="470"/>
      <c r="J62" s="469"/>
      <c r="K62" s="469"/>
    </row>
    <row r="63" spans="2:15" hidden="1" x14ac:dyDescent="0.2">
      <c r="G63" s="94"/>
      <c r="I63" s="471"/>
      <c r="J63" s="471"/>
      <c r="K63" s="471"/>
      <c r="N63" s="94"/>
      <c r="O63" s="94"/>
    </row>
    <row r="64" spans="2:15" hidden="1" x14ac:dyDescent="0.2">
      <c r="B64" s="421" t="s">
        <v>244</v>
      </c>
      <c r="G64" s="94"/>
      <c r="I64" s="471"/>
      <c r="J64" s="471"/>
      <c r="K64" s="471"/>
      <c r="N64" s="94"/>
      <c r="O64" s="94"/>
    </row>
    <row r="65" spans="2:15" hidden="1" x14ac:dyDescent="0.2">
      <c r="B65" s="421" t="s">
        <v>243</v>
      </c>
      <c r="G65" s="94"/>
      <c r="I65" s="471"/>
      <c r="J65" s="471"/>
      <c r="K65" s="471"/>
      <c r="N65" s="94"/>
      <c r="O65" s="94"/>
    </row>
    <row r="66" spans="2:15" hidden="1" x14ac:dyDescent="0.2">
      <c r="G66" s="94"/>
      <c r="I66" s="471"/>
      <c r="J66" s="471"/>
      <c r="K66" s="471"/>
      <c r="N66" s="94"/>
      <c r="O66" s="94"/>
    </row>
    <row r="67" spans="2:15" hidden="1" x14ac:dyDescent="0.2">
      <c r="F67" s="465"/>
      <c r="G67" s="95"/>
      <c r="I67" s="470"/>
      <c r="J67" s="470"/>
      <c r="K67" s="470"/>
      <c r="N67" s="94"/>
      <c r="O67" s="94"/>
    </row>
    <row r="68" spans="2:15" hidden="1" x14ac:dyDescent="0.2">
      <c r="B68" s="421" t="s">
        <v>226</v>
      </c>
      <c r="F68" s="465"/>
      <c r="G68" s="94"/>
      <c r="I68" s="470"/>
      <c r="J68" s="470"/>
      <c r="K68" s="470"/>
      <c r="L68" s="94"/>
      <c r="M68" s="94"/>
      <c r="N68" s="94"/>
      <c r="O68" s="94"/>
    </row>
    <row r="69" spans="2:15" hidden="1" x14ac:dyDescent="0.2">
      <c r="B69" s="421" t="s">
        <v>236</v>
      </c>
      <c r="G69" s="94"/>
      <c r="I69" s="471"/>
      <c r="J69" s="471"/>
      <c r="K69" s="471"/>
      <c r="M69" s="94"/>
      <c r="N69" s="94"/>
      <c r="O69" s="94"/>
    </row>
    <row r="70" spans="2:15" hidden="1" x14ac:dyDescent="0.2">
      <c r="G70" s="94"/>
      <c r="I70" s="471"/>
      <c r="J70" s="471"/>
      <c r="K70" s="471"/>
    </row>
    <row r="71" spans="2:15" hidden="1" x14ac:dyDescent="0.2">
      <c r="G71" s="94"/>
      <c r="I71" s="471"/>
      <c r="J71" s="471"/>
      <c r="K71" s="471"/>
    </row>
    <row r="72" spans="2:15" hidden="1" x14ac:dyDescent="0.2">
      <c r="B72" s="415" t="s">
        <v>391</v>
      </c>
      <c r="G72" s="94"/>
      <c r="I72" s="471"/>
      <c r="J72" s="471"/>
      <c r="K72" s="471"/>
    </row>
    <row r="73" spans="2:15" hidden="1" x14ac:dyDescent="0.2">
      <c r="B73" s="415" t="s">
        <v>366</v>
      </c>
      <c r="F73" s="465"/>
      <c r="G73" s="95"/>
      <c r="I73" s="470"/>
      <c r="J73" s="470"/>
      <c r="K73" s="470"/>
    </row>
    <row r="74" spans="2:15" x14ac:dyDescent="0.2">
      <c r="B74" s="94"/>
    </row>
    <row r="75" spans="2:15" x14ac:dyDescent="0.2">
      <c r="B75" s="95"/>
    </row>
    <row r="76" spans="2:15" x14ac:dyDescent="0.2">
      <c r="B76" s="95"/>
    </row>
    <row r="77" spans="2:15" x14ac:dyDescent="0.2">
      <c r="B77" s="95"/>
    </row>
    <row r="78" spans="2:15" x14ac:dyDescent="0.2">
      <c r="B78" s="95"/>
    </row>
    <row r="79" spans="2:15" x14ac:dyDescent="0.2">
      <c r="B79" s="95"/>
    </row>
    <row r="80" spans="2:15" x14ac:dyDescent="0.2">
      <c r="B80" s="95"/>
    </row>
    <row r="81" spans="2:11" x14ac:dyDescent="0.2">
      <c r="B81" s="95"/>
    </row>
    <row r="82" spans="2:11" x14ac:dyDescent="0.2">
      <c r="B82" s="95"/>
      <c r="H82" s="344"/>
      <c r="I82" s="344"/>
      <c r="J82" s="344"/>
      <c r="K82" s="344"/>
    </row>
    <row r="83" spans="2:11" x14ac:dyDescent="0.2">
      <c r="B83" s="95"/>
      <c r="H83" s="344"/>
      <c r="I83" s="344"/>
      <c r="J83" s="344"/>
      <c r="K83" s="344"/>
    </row>
    <row r="84" spans="2:11" x14ac:dyDescent="0.2">
      <c r="H84" s="344"/>
      <c r="I84" s="344"/>
      <c r="J84" s="344"/>
      <c r="K84" s="344"/>
    </row>
    <row r="85" spans="2:11" x14ac:dyDescent="0.2">
      <c r="H85" s="344"/>
      <c r="I85" s="344"/>
      <c r="J85" s="344"/>
      <c r="K85" s="344"/>
    </row>
    <row r="87" spans="2:11" x14ac:dyDescent="0.2">
      <c r="H87" s="344"/>
    </row>
  </sheetData>
  <sheetProtection algorithmName="SHA-512" hashValue="l630Syp3e/+5vHM3YnshcVYQ4z56UdUijkQT+bHw+NF0HOsDAJcMP6gXB6Tef8kCuK7F4DenFbpUTha3Xihd6Q==" saltValue="47R6w2S9bYtuDDW25y8Jdg==" spinCount="100000" sheet="1" objects="1" scenarios="1" formatCells="0" formatColumns="0" formatRows="0"/>
  <mergeCells count="38">
    <mergeCell ref="B2:L2"/>
    <mergeCell ref="B3:L3"/>
    <mergeCell ref="C4:D4"/>
    <mergeCell ref="E4:L4"/>
    <mergeCell ref="C5:D5"/>
    <mergeCell ref="E5:L5"/>
    <mergeCell ref="E12:L12"/>
    <mergeCell ref="C6:D6"/>
    <mergeCell ref="E6:L6"/>
    <mergeCell ref="C7:D7"/>
    <mergeCell ref="E7:L7"/>
    <mergeCell ref="C8:D8"/>
    <mergeCell ref="E8:L8"/>
    <mergeCell ref="C9:D9"/>
    <mergeCell ref="E9:L9"/>
    <mergeCell ref="C10:D10"/>
    <mergeCell ref="E10:L10"/>
    <mergeCell ref="E11:L11"/>
    <mergeCell ref="B30:L30"/>
    <mergeCell ref="G13:M13"/>
    <mergeCell ref="B14:L14"/>
    <mergeCell ref="B15:L15"/>
    <mergeCell ref="C16:E16"/>
    <mergeCell ref="G16:L16"/>
    <mergeCell ref="C17:E17"/>
    <mergeCell ref="G17:L17"/>
    <mergeCell ref="B18:L18"/>
    <mergeCell ref="C19:D19"/>
    <mergeCell ref="C20:D20"/>
    <mergeCell ref="E20:E21"/>
    <mergeCell ref="C21:D21"/>
    <mergeCell ref="B40:F40"/>
    <mergeCell ref="B31:L31"/>
    <mergeCell ref="C36:D36"/>
    <mergeCell ref="E36:L36"/>
    <mergeCell ref="C37:D37"/>
    <mergeCell ref="C38:D38"/>
    <mergeCell ref="B39:L39"/>
  </mergeCells>
  <conditionalFormatting sqref="D22:E29 K19:K20 D32:E35 K40">
    <cfRule type="expression" dxfId="59" priority="34">
      <formula>$C$17=$B$73</formula>
    </cfRule>
  </conditionalFormatting>
  <conditionalFormatting sqref="D11:D12">
    <cfRule type="expression" dxfId="58" priority="35">
      <formula>$C$10=$B$73</formula>
    </cfRule>
  </conditionalFormatting>
  <conditionalFormatting sqref="G20">
    <cfRule type="expression" dxfId="57" priority="36">
      <formula>$G$19=$B$54</formula>
    </cfRule>
  </conditionalFormatting>
  <conditionalFormatting sqref="H20">
    <cfRule type="expression" dxfId="56" priority="37">
      <formula>$H$19=$B$54</formula>
    </cfRule>
  </conditionalFormatting>
  <conditionalFormatting sqref="I20">
    <cfRule type="expression" dxfId="55" priority="38">
      <formula>$I$19=$B$54</formula>
    </cfRule>
  </conditionalFormatting>
  <conditionalFormatting sqref="J20:K20">
    <cfRule type="expression" dxfId="54" priority="39">
      <formula>$J$19=$B$54</formula>
    </cfRule>
  </conditionalFormatting>
  <conditionalFormatting sqref="B34:F35 N34:N35 B28:F28 L28 L34:L35">
    <cfRule type="expression" dxfId="53" priority="40">
      <formula>$C$16=$B$68</formula>
    </cfRule>
  </conditionalFormatting>
  <conditionalFormatting sqref="D32:E32">
    <cfRule type="expression" dxfId="52" priority="32">
      <formula>$B$32=$G$50</formula>
    </cfRule>
  </conditionalFormatting>
  <conditionalFormatting sqref="D33:E33">
    <cfRule type="expression" dxfId="51" priority="31">
      <formula>$B$33=$G$53</formula>
    </cfRule>
  </conditionalFormatting>
  <conditionalFormatting sqref="D34:E34">
    <cfRule type="expression" dxfId="50" priority="30">
      <formula>$B$34=$G$55</formula>
    </cfRule>
  </conditionalFormatting>
  <conditionalFormatting sqref="D35:E35">
    <cfRule type="expression" dxfId="49" priority="29">
      <formula>$B$35=$G$59</formula>
    </cfRule>
  </conditionalFormatting>
  <conditionalFormatting sqref="E22:E29 E32:E35">
    <cfRule type="expression" dxfId="48" priority="27">
      <formula>$C$17=$B$73</formula>
    </cfRule>
  </conditionalFormatting>
  <conditionalFormatting sqref="K22:K29">
    <cfRule type="expression" dxfId="47" priority="11">
      <formula>$C$17=$B$73</formula>
    </cfRule>
  </conditionalFormatting>
  <conditionalFormatting sqref="G28:K28">
    <cfRule type="expression" dxfId="46" priority="12">
      <formula>$C$16=$B$68</formula>
    </cfRule>
  </conditionalFormatting>
  <conditionalFormatting sqref="K28">
    <cfRule type="expression" dxfId="45" priority="10">
      <formula>$C$16=$B$68</formula>
    </cfRule>
  </conditionalFormatting>
  <conditionalFormatting sqref="K32:K35">
    <cfRule type="expression" dxfId="44" priority="7">
      <formula>$C$17=$B$73</formula>
    </cfRule>
  </conditionalFormatting>
  <conditionalFormatting sqref="G34:K35">
    <cfRule type="expression" dxfId="43" priority="8">
      <formula>$C$16=$B$68</formula>
    </cfRule>
  </conditionalFormatting>
  <conditionalFormatting sqref="K37:K38">
    <cfRule type="expression" dxfId="42" priority="5">
      <formula>$C$17=$B$73</formula>
    </cfRule>
  </conditionalFormatting>
  <dataValidations count="9">
    <dataValidation type="list" allowBlank="1" showInputMessage="1" showErrorMessage="1" sqref="B34">
      <formula1>$G$55:$G$58</formula1>
    </dataValidation>
    <dataValidation type="list" allowBlank="1" showInputMessage="1" showErrorMessage="1" prompt="Make sure that the additional tillage option selected here is not the same as above or costs will be included twice on the Machinery Operations chart. " sqref="B35">
      <formula1>$G$59:$G$62</formula1>
    </dataValidation>
    <dataValidation type="list" allowBlank="1" showInputMessage="1" showErrorMessage="1" sqref="B32">
      <formula1>$G$50:$G$52</formula1>
    </dataValidation>
    <dataValidation type="list" allowBlank="1" showInputMessage="1" showErrorMessage="1" sqref="B33">
      <formula1>$G$53:$G$54</formula1>
    </dataValidation>
    <dataValidation type="list" allowBlank="1" showInputMessage="1" showErrorMessage="1" sqref="C7 E32:E35 E22:E29">
      <formula1>$B$49:$B$50</formula1>
    </dataValidation>
    <dataValidation type="list" allowBlank="1" showInputMessage="1" showErrorMessage="1" prompt="If you select &quot;Enter&quot; the default number of trips will be visible, but calculations will be based off of the number of trips entered. _x000a__x000a_If &quot;Custom Work&quot; applies to any machinery operations, select &quot;Y&quot; in the Custom Work column. " sqref="C17:E17">
      <formula1>$B$72:$B$73</formula1>
    </dataValidation>
    <dataValidation type="list" allowBlank="1" showInputMessage="1" showErrorMessage="1" sqref="C10:D10">
      <formula1>$B$72:$B$73</formula1>
    </dataValidation>
    <dataValidation type="list" allowBlank="1" showInputMessage="1" showErrorMessage="1" sqref="C16:E16">
      <formula1>$B$68:$B$69</formula1>
    </dataValidation>
    <dataValidation type="list" allowBlank="1" showInputMessage="1" showErrorMessage="1" sqref="G19:K19">
      <formula1>$B$52:$B$54</formula1>
    </dataValidation>
  </dataValidations>
  <pageMargins left="0.75" right="0.75" top="1" bottom="1" header="0.5" footer="0.5"/>
  <pageSetup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1" id="{7EC69B94-66E7-4F13-8F70-F3FFAA9A7E0D}">
            <xm:f>'Non-GMO'!$C$27='Non-GMO'!$C$85</xm:f>
            <x14:dxf>
              <font>
                <color theme="0"/>
              </font>
            </x14:dxf>
          </x14:cfRule>
          <x14:cfRule type="expression" priority="42" id="{42BD7625-3110-408D-807D-836F2E303744}">
            <xm:f>'Non-GMO'!$D$26='Non-GMO'!$C$70</xm:f>
            <x14:dxf>
              <font>
                <color theme="0"/>
              </font>
            </x14:dxf>
          </x14:cfRule>
          <xm:sqref>B29:F29 L29</xm:sqref>
        </x14:conditionalFormatting>
        <x14:conditionalFormatting xmlns:xm="http://schemas.microsoft.com/office/excel/2006/main">
          <x14:cfRule type="expression" priority="28" id="{348144A1-3218-4753-BB0E-E89274C89D13}">
            <xm:f>'Non-GMO'!$I$21='Non-GMO'!$D$60</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26" id="{CE8DF770-CDD2-4BAC-8305-69087E4D86C5}">
            <xm:f>'Non-GMO'!$I$21='Non-GMO'!$D$60</xm:f>
            <x14:dxf>
              <font>
                <color theme="0"/>
              </font>
              <fill>
                <patternFill patternType="none">
                  <bgColor auto="1"/>
                </patternFill>
              </fill>
              <border>
                <left/>
                <right/>
                <top/>
                <bottom/>
                <vertical/>
                <horizontal/>
              </border>
            </x14:dxf>
          </x14:cfRule>
          <xm:sqref>B2:L9 B15:N21 B30:N31 B22:F29 L22:N29 B36:N36 B32:F35 L32:N35 B39:N40 C37:F38 L37:N38 C11:L12 C10:D10</xm:sqref>
        </x14:conditionalFormatting>
        <x14:conditionalFormatting xmlns:xm="http://schemas.microsoft.com/office/excel/2006/main">
          <x14:cfRule type="expression" priority="13" id="{897A4C19-8B7D-492E-A729-3BF520CCD1A2}">
            <xm:f>GMO!$C$27=GMO!$C$85</xm:f>
            <x14:dxf>
              <font>
                <color theme="0"/>
              </font>
            </x14:dxf>
          </x14:cfRule>
          <x14:cfRule type="expression" priority="14" id="{7B08BF7D-2CFA-4E39-9482-36BD5733AAB8}">
            <xm:f>GMO!$D$26=GMO!$C$70</xm:f>
            <x14:dxf>
              <font>
                <color theme="0"/>
              </font>
            </x14:dxf>
          </x14:cfRule>
          <xm:sqref>G29:K29</xm:sqref>
        </x14:conditionalFormatting>
        <x14:conditionalFormatting xmlns:xm="http://schemas.microsoft.com/office/excel/2006/main">
          <x14:cfRule type="expression" priority="9" id="{779E1E09-65B6-4BDC-8690-67C3576698BC}">
            <xm:f>GMO!$I$21=GMO!$D$60</xm:f>
            <x14:dxf>
              <font>
                <color theme="0"/>
              </font>
              <fill>
                <patternFill patternType="none">
                  <bgColor auto="1"/>
                </patternFill>
              </fill>
              <border>
                <left/>
                <right/>
                <top/>
                <bottom/>
                <vertical/>
                <horizontal/>
              </border>
            </x14:dxf>
          </x14:cfRule>
          <xm:sqref>G22:K29</xm:sqref>
        </x14:conditionalFormatting>
        <x14:conditionalFormatting xmlns:xm="http://schemas.microsoft.com/office/excel/2006/main">
          <x14:cfRule type="expression" priority="6" id="{21F87737-24F5-4487-BA8C-25341CD12875}">
            <xm:f>GMO!$I$21=GMO!$D$60</xm:f>
            <x14:dxf>
              <font>
                <color theme="0"/>
              </font>
              <fill>
                <patternFill patternType="none">
                  <bgColor auto="1"/>
                </patternFill>
              </fill>
              <border>
                <left/>
                <right/>
                <top/>
                <bottom/>
                <vertical/>
                <horizontal/>
              </border>
            </x14:dxf>
          </x14:cfRule>
          <xm:sqref>G32:K35</xm:sqref>
        </x14:conditionalFormatting>
        <x14:conditionalFormatting xmlns:xm="http://schemas.microsoft.com/office/excel/2006/main">
          <x14:cfRule type="expression" priority="4" id="{D71E5D84-3AEB-460D-AF65-3934653CAD80}">
            <xm:f>GMO!$I$21=GMO!$D$60</xm:f>
            <x14:dxf>
              <font>
                <color theme="0"/>
              </font>
              <fill>
                <patternFill patternType="none">
                  <bgColor auto="1"/>
                </patternFill>
              </fill>
              <border>
                <left/>
                <right/>
                <top/>
                <bottom/>
                <vertical/>
                <horizontal/>
              </border>
            </x14:dxf>
          </x14:cfRule>
          <xm:sqref>G37:K38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81"/>
  <sheetViews>
    <sheetView workbookViewId="0">
      <pane ySplit="17" topLeftCell="A18" activePane="bottomLeft" state="frozen"/>
      <selection activeCell="H25" sqref="H25"/>
      <selection pane="bottomLeft" activeCell="AB43" sqref="AB43"/>
    </sheetView>
  </sheetViews>
  <sheetFormatPr defaultRowHeight="12.75" x14ac:dyDescent="0.2"/>
  <cols>
    <col min="1" max="1" width="33.5703125" customWidth="1"/>
    <col min="2" max="6" width="9.140625" customWidth="1"/>
    <col min="7" max="7" width="9.7109375" customWidth="1"/>
    <col min="8" max="8" width="8.5703125" style="23" customWidth="1"/>
    <col min="9" max="11" width="7.85546875" customWidth="1"/>
    <col min="12" max="12" width="9" customWidth="1"/>
    <col min="13" max="13" width="7.5703125" customWidth="1"/>
    <col min="14" max="14" width="9.85546875" customWidth="1"/>
    <col min="15" max="16" width="7.140625" customWidth="1"/>
    <col min="17" max="17" width="9.140625" customWidth="1"/>
    <col min="18" max="18" width="8.42578125" customWidth="1"/>
    <col min="19" max="19" width="8.7109375" customWidth="1"/>
    <col min="20" max="20" width="4.7109375" customWidth="1"/>
    <col min="21" max="21" width="8.5703125" customWidth="1"/>
    <col min="22" max="22" width="8.140625" customWidth="1"/>
    <col min="23" max="23" width="8.7109375" customWidth="1"/>
    <col min="24" max="24" width="8.42578125" customWidth="1"/>
    <col min="25" max="25" width="8.5703125" customWidth="1"/>
    <col min="26" max="26" width="8.42578125" customWidth="1"/>
  </cols>
  <sheetData>
    <row r="1" spans="1:28" ht="18" x14ac:dyDescent="0.25">
      <c r="A1" s="662" t="s">
        <v>435</v>
      </c>
      <c r="B1" s="663"/>
      <c r="C1" s="663"/>
      <c r="D1" s="663"/>
      <c r="E1" s="663"/>
      <c r="F1" s="663"/>
      <c r="G1" s="663"/>
      <c r="H1" s="663"/>
      <c r="I1" s="663"/>
      <c r="J1" s="663"/>
      <c r="K1" s="663"/>
      <c r="L1" s="663"/>
      <c r="M1" s="663"/>
      <c r="N1" s="663"/>
      <c r="O1" s="663"/>
      <c r="P1" s="663"/>
      <c r="Q1" s="663"/>
      <c r="R1" s="663"/>
      <c r="S1" s="663"/>
      <c r="T1" s="663"/>
      <c r="U1" s="663"/>
      <c r="V1" s="663"/>
      <c r="W1" s="663"/>
      <c r="X1" s="663"/>
      <c r="Y1" s="663"/>
      <c r="Z1" s="664"/>
    </row>
    <row r="2" spans="1:28" x14ac:dyDescent="0.2">
      <c r="A2" s="65" t="s">
        <v>193</v>
      </c>
      <c r="B2" s="172">
        <v>2</v>
      </c>
      <c r="C2" s="65"/>
      <c r="D2" s="669" t="s">
        <v>110</v>
      </c>
      <c r="E2" s="669"/>
      <c r="F2" s="669"/>
      <c r="G2" s="669"/>
      <c r="H2" s="669"/>
      <c r="I2" s="669"/>
      <c r="J2" s="669"/>
      <c r="K2" s="669"/>
      <c r="L2" s="669"/>
      <c r="M2" s="669"/>
      <c r="N2" s="669"/>
      <c r="O2" s="669"/>
      <c r="P2" s="669"/>
      <c r="Q2" s="669"/>
      <c r="R2" s="669"/>
      <c r="S2" s="669"/>
      <c r="T2" s="669"/>
      <c r="U2" s="669"/>
      <c r="V2" s="669"/>
      <c r="W2" s="669"/>
      <c r="X2" s="669"/>
      <c r="Y2" s="669"/>
      <c r="Z2" s="669"/>
    </row>
    <row r="3" spans="1:28" x14ac:dyDescent="0.2">
      <c r="A3" s="65" t="s">
        <v>192</v>
      </c>
      <c r="B3" s="133">
        <f>'Machinery(Non-GMO)'!C5</f>
        <v>1.75</v>
      </c>
      <c r="C3" s="65"/>
      <c r="D3" s="697" t="s">
        <v>98</v>
      </c>
      <c r="E3" s="697"/>
      <c r="F3" s="697"/>
      <c r="G3" s="697"/>
      <c r="H3" s="697"/>
      <c r="I3" s="697"/>
      <c r="J3" s="697"/>
      <c r="K3" s="697"/>
      <c r="L3" s="697"/>
      <c r="M3" s="697"/>
      <c r="N3" s="697"/>
      <c r="O3" s="697"/>
      <c r="P3" s="697"/>
      <c r="Q3" s="697"/>
      <c r="R3" s="697"/>
      <c r="S3" s="697"/>
      <c r="T3" s="697"/>
      <c r="U3" s="697"/>
      <c r="V3" s="697"/>
      <c r="W3" s="697"/>
      <c r="X3" s="697"/>
      <c r="Y3" s="697"/>
      <c r="Z3" s="697"/>
    </row>
    <row r="4" spans="1:28" x14ac:dyDescent="0.2">
      <c r="A4" s="9" t="s">
        <v>68</v>
      </c>
      <c r="B4" s="133">
        <f>'Machinery(Non-GMO)'!C6</f>
        <v>15</v>
      </c>
      <c r="C4" s="9"/>
      <c r="D4" s="697" t="s">
        <v>100</v>
      </c>
      <c r="E4" s="697"/>
      <c r="F4" s="697"/>
      <c r="G4" s="697"/>
      <c r="H4" s="697"/>
      <c r="I4" s="697"/>
      <c r="J4" s="697"/>
      <c r="K4" s="697"/>
      <c r="L4" s="697"/>
      <c r="M4" s="697"/>
      <c r="N4" s="697"/>
      <c r="O4" s="697"/>
      <c r="P4" s="697"/>
      <c r="Q4" s="697"/>
      <c r="R4" s="697"/>
      <c r="S4" s="697"/>
      <c r="T4" s="697"/>
      <c r="U4" s="697"/>
      <c r="V4" s="697"/>
      <c r="W4" s="697"/>
      <c r="X4" s="697"/>
      <c r="Y4" s="697"/>
      <c r="Z4" s="697"/>
    </row>
    <row r="5" spans="1:28" x14ac:dyDescent="0.2">
      <c r="A5" s="9" t="s">
        <v>115</v>
      </c>
      <c r="B5" s="133" t="str">
        <f>'Machinery(Non-GMO)'!C7</f>
        <v>Y</v>
      </c>
      <c r="C5" s="9"/>
      <c r="D5" s="697" t="s">
        <v>106</v>
      </c>
      <c r="E5" s="697"/>
      <c r="F5" s="697"/>
      <c r="G5" s="697"/>
      <c r="H5" s="697"/>
      <c r="I5" s="697"/>
      <c r="J5" s="697"/>
      <c r="K5" s="697"/>
      <c r="L5" s="697"/>
      <c r="M5" s="697"/>
      <c r="N5" s="697"/>
      <c r="O5" s="697"/>
      <c r="P5" s="697"/>
      <c r="Q5" s="697"/>
      <c r="R5" s="697"/>
      <c r="S5" s="697"/>
      <c r="T5" s="697"/>
      <c r="U5" s="697"/>
      <c r="V5" s="697"/>
      <c r="W5" s="697"/>
      <c r="X5" s="697"/>
      <c r="Y5" s="697"/>
      <c r="Z5" s="697"/>
    </row>
    <row r="6" spans="1:28" x14ac:dyDescent="0.2">
      <c r="A6" s="9" t="s">
        <v>69</v>
      </c>
      <c r="B6" s="133">
        <f>'Machinery(Non-GMO)'!C8</f>
        <v>12.5</v>
      </c>
      <c r="C6" s="9"/>
      <c r="D6" s="697" t="s">
        <v>99</v>
      </c>
      <c r="E6" s="697"/>
      <c r="F6" s="697"/>
      <c r="G6" s="697"/>
      <c r="H6" s="697"/>
      <c r="I6" s="697"/>
      <c r="J6" s="697"/>
      <c r="K6" s="697"/>
      <c r="L6" s="697"/>
      <c r="M6" s="697"/>
      <c r="N6" s="697"/>
      <c r="O6" s="697"/>
      <c r="P6" s="697"/>
      <c r="Q6" s="697"/>
      <c r="R6" s="697"/>
      <c r="S6" s="697"/>
      <c r="T6" s="697"/>
      <c r="U6" s="697"/>
      <c r="V6" s="697"/>
      <c r="W6" s="697"/>
      <c r="X6" s="697"/>
      <c r="Y6" s="697"/>
      <c r="Z6" s="697"/>
    </row>
    <row r="7" spans="1:28" x14ac:dyDescent="0.2">
      <c r="A7" s="9" t="s">
        <v>70</v>
      </c>
      <c r="B7" s="118">
        <f>'Machinery(Non-GMO)'!C9</f>
        <v>0</v>
      </c>
      <c r="C7" s="9"/>
      <c r="D7" s="697" t="s">
        <v>107</v>
      </c>
      <c r="E7" s="697"/>
      <c r="F7" s="697"/>
      <c r="G7" s="697"/>
      <c r="H7" s="697"/>
      <c r="I7" s="697"/>
      <c r="J7" s="697"/>
      <c r="K7" s="697"/>
      <c r="L7" s="697"/>
      <c r="M7" s="697"/>
      <c r="N7" s="697"/>
      <c r="O7" s="697"/>
      <c r="P7" s="697"/>
      <c r="Q7" s="697"/>
      <c r="R7" s="697"/>
      <c r="S7" s="697"/>
      <c r="T7" s="697"/>
      <c r="U7" s="697"/>
      <c r="V7" s="697"/>
      <c r="W7" s="697"/>
      <c r="X7" s="697"/>
      <c r="Y7" s="697"/>
      <c r="Z7" s="697"/>
    </row>
    <row r="8" spans="1:28" x14ac:dyDescent="0.2">
      <c r="A8" s="9" t="s">
        <v>103</v>
      </c>
      <c r="B8" s="36">
        <f>'Non-GMO'!I26</f>
        <v>50</v>
      </c>
      <c r="C8" s="9"/>
      <c r="D8" s="697" t="s">
        <v>119</v>
      </c>
      <c r="E8" s="697"/>
      <c r="F8" s="697"/>
      <c r="G8" s="697"/>
      <c r="H8" s="697"/>
      <c r="I8" s="697"/>
      <c r="J8" s="697"/>
      <c r="K8" s="697"/>
      <c r="L8" s="697"/>
      <c r="M8" s="697"/>
      <c r="N8" s="697"/>
      <c r="O8" s="697"/>
      <c r="P8" s="697"/>
      <c r="Q8" s="697"/>
      <c r="R8" s="697"/>
      <c r="S8" s="697"/>
      <c r="T8" s="697"/>
      <c r="U8" s="697"/>
      <c r="V8" s="697"/>
      <c r="W8" s="697"/>
      <c r="X8" s="697"/>
      <c r="Y8" s="697"/>
      <c r="Z8" s="697"/>
    </row>
    <row r="9" spans="1:28" x14ac:dyDescent="0.2">
      <c r="A9" s="668" t="s">
        <v>104</v>
      </c>
      <c r="B9" s="668"/>
      <c r="C9" s="668"/>
      <c r="D9" s="668"/>
      <c r="E9" s="668"/>
      <c r="F9" s="668"/>
      <c r="G9" s="668"/>
      <c r="H9" s="690" t="s">
        <v>108</v>
      </c>
      <c r="I9" s="688"/>
      <c r="J9" s="688"/>
      <c r="K9" s="688"/>
      <c r="L9" s="688"/>
      <c r="M9" s="688"/>
      <c r="N9" s="688"/>
      <c r="O9" s="688"/>
      <c r="P9" s="688"/>
      <c r="Q9" s="688"/>
      <c r="R9" s="688"/>
      <c r="S9" s="688"/>
      <c r="T9" s="688"/>
      <c r="U9" s="688"/>
      <c r="V9" s="688"/>
      <c r="W9" s="688"/>
      <c r="X9" s="688"/>
      <c r="Y9" s="688"/>
      <c r="Z9" s="689"/>
    </row>
    <row r="10" spans="1:28" x14ac:dyDescent="0.2">
      <c r="A10" s="668" t="s">
        <v>105</v>
      </c>
      <c r="B10" s="668"/>
      <c r="C10" s="668"/>
      <c r="D10" s="668"/>
      <c r="E10" s="668"/>
      <c r="F10" s="668"/>
      <c r="G10" s="668"/>
      <c r="H10" s="690" t="s">
        <v>121</v>
      </c>
      <c r="I10" s="688"/>
      <c r="J10" s="688"/>
      <c r="K10" s="688"/>
      <c r="L10" s="688"/>
      <c r="M10" s="688"/>
      <c r="N10" s="688"/>
      <c r="O10" s="688"/>
      <c r="P10" s="688"/>
      <c r="Q10" s="688"/>
      <c r="R10" s="688"/>
      <c r="S10" s="688"/>
      <c r="T10" s="688"/>
      <c r="U10" s="688"/>
      <c r="V10" s="688"/>
      <c r="W10" s="688"/>
      <c r="X10" s="688"/>
      <c r="Y10" s="688"/>
      <c r="Z10" s="689"/>
    </row>
    <row r="11" spans="1:28" x14ac:dyDescent="0.2">
      <c r="A11" s="668" t="s">
        <v>118</v>
      </c>
      <c r="B11" s="668"/>
      <c r="C11" s="668"/>
      <c r="D11" s="668"/>
      <c r="E11" s="668"/>
      <c r="F11" s="668"/>
      <c r="G11" s="668"/>
      <c r="H11" s="690" t="s">
        <v>122</v>
      </c>
      <c r="I11" s="688"/>
      <c r="J11" s="688"/>
      <c r="K11" s="688"/>
      <c r="L11" s="688"/>
      <c r="M11" s="688"/>
      <c r="N11" s="688"/>
      <c r="O11" s="688"/>
      <c r="P11" s="688"/>
      <c r="Q11" s="688"/>
      <c r="R11" s="688"/>
      <c r="S11" s="688"/>
      <c r="T11" s="688"/>
      <c r="U11" s="688"/>
      <c r="V11" s="688"/>
      <c r="W11" s="688"/>
      <c r="X11" s="688"/>
      <c r="Y11" s="688"/>
      <c r="Z11" s="689"/>
    </row>
    <row r="12" spans="1:28" x14ac:dyDescent="0.2">
      <c r="A12" s="65" t="s">
        <v>82</v>
      </c>
      <c r="B12" s="119">
        <v>0.33</v>
      </c>
      <c r="C12" s="9"/>
      <c r="D12" s="9"/>
      <c r="E12" s="23"/>
      <c r="F12" s="119"/>
      <c r="G12" s="119"/>
      <c r="H12" s="687"/>
      <c r="I12" s="688"/>
      <c r="J12" s="688"/>
      <c r="K12" s="688"/>
      <c r="L12" s="688"/>
      <c r="M12" s="688"/>
      <c r="N12" s="688"/>
      <c r="O12" s="688"/>
      <c r="P12" s="688"/>
      <c r="Q12" s="688"/>
      <c r="R12" s="688"/>
      <c r="S12" s="688"/>
      <c r="T12" s="688"/>
      <c r="U12" s="688"/>
      <c r="V12" s="688"/>
      <c r="W12" s="688"/>
      <c r="X12" s="688"/>
      <c r="Y12" s="688"/>
      <c r="Z12" s="689"/>
    </row>
    <row r="13" spans="1:28" x14ac:dyDescent="0.2">
      <c r="A13" s="65" t="s">
        <v>397</v>
      </c>
      <c r="B13" s="119">
        <v>0.15</v>
      </c>
      <c r="C13" s="9"/>
      <c r="D13" s="9"/>
      <c r="E13" s="119"/>
      <c r="F13" s="119"/>
      <c r="G13" s="119"/>
      <c r="H13" s="321"/>
      <c r="I13" s="322"/>
      <c r="J13" s="322"/>
      <c r="K13" s="322"/>
      <c r="L13" s="322"/>
      <c r="M13" s="322"/>
      <c r="N13" s="322"/>
      <c r="O13" s="322"/>
      <c r="P13" s="322"/>
      <c r="Q13" s="322"/>
      <c r="R13" s="322"/>
      <c r="S13" s="322"/>
      <c r="T13" s="322"/>
      <c r="U13" s="323"/>
      <c r="V13" s="323"/>
      <c r="W13" s="323"/>
      <c r="X13" s="323"/>
      <c r="Y13" s="323"/>
      <c r="Z13" s="324"/>
    </row>
    <row r="14" spans="1:28" ht="13.15" customHeight="1" x14ac:dyDescent="0.2">
      <c r="A14" s="65" t="s">
        <v>398</v>
      </c>
      <c r="B14" s="325">
        <v>15</v>
      </c>
      <c r="C14" s="9"/>
      <c r="D14" s="9"/>
      <c r="E14" s="9"/>
      <c r="F14" s="120"/>
      <c r="G14" s="120"/>
      <c r="H14" s="671" t="s">
        <v>101</v>
      </c>
      <c r="I14" s="672"/>
      <c r="J14" s="672"/>
      <c r="K14" s="672"/>
      <c r="L14" s="672"/>
      <c r="M14" s="672"/>
      <c r="N14" s="672"/>
      <c r="O14" s="672"/>
      <c r="P14" s="672"/>
      <c r="Q14" s="672"/>
      <c r="R14" s="672"/>
      <c r="S14" s="672"/>
      <c r="T14" s="673"/>
      <c r="U14" s="691" t="s">
        <v>96</v>
      </c>
      <c r="V14" s="692"/>
      <c r="W14" s="692"/>
      <c r="X14" s="692"/>
      <c r="Y14" s="692"/>
      <c r="Z14" s="693"/>
    </row>
    <row r="15" spans="1:28" x14ac:dyDescent="0.2">
      <c r="A15" s="65" t="s">
        <v>143</v>
      </c>
      <c r="B15" s="319">
        <f>IF('Machinery(Non-GMO)'!C10='Machinery(Non-GMO)'!B73,'Machinery(Non-GMO)'!C11,'Machinery(Non-GMO)'!D11)</f>
        <v>0.75</v>
      </c>
      <c r="C15" s="65"/>
      <c r="D15" s="65"/>
      <c r="E15" s="9"/>
      <c r="F15" s="120"/>
      <c r="G15" s="120"/>
      <c r="H15" s="674"/>
      <c r="I15" s="675"/>
      <c r="J15" s="675"/>
      <c r="K15" s="675"/>
      <c r="L15" s="675"/>
      <c r="M15" s="675"/>
      <c r="N15" s="675"/>
      <c r="O15" s="675"/>
      <c r="P15" s="675"/>
      <c r="Q15" s="675"/>
      <c r="R15" s="675"/>
      <c r="S15" s="675"/>
      <c r="T15" s="676"/>
      <c r="U15" s="108" t="str">
        <f>'Machinery(Non-GMO)'!G19</f>
        <v>Increase</v>
      </c>
      <c r="V15" s="108" t="str">
        <f>'Machinery(Non-GMO)'!J19</f>
        <v>Increase</v>
      </c>
      <c r="W15" s="108" t="str">
        <f>'Machinery(Non-GMO)'!J19</f>
        <v>Increase</v>
      </c>
      <c r="X15" s="108" t="str">
        <f>'Machinery(Non-GMO)'!H19</f>
        <v>Increase</v>
      </c>
      <c r="Y15" s="108" t="str">
        <f>'Machinery(Non-GMO)'!I19</f>
        <v>Increase</v>
      </c>
      <c r="Z15" s="108" t="str">
        <f>'Machinery(Non-GMO)'!K19</f>
        <v>Increase</v>
      </c>
      <c r="AA15" s="16"/>
      <c r="AB15" s="16"/>
    </row>
    <row r="16" spans="1:28" x14ac:dyDescent="0.2">
      <c r="A16" s="65" t="s">
        <v>399</v>
      </c>
      <c r="B16" s="326">
        <v>0.15</v>
      </c>
      <c r="C16" s="9"/>
      <c r="D16" s="9"/>
      <c r="E16" s="9"/>
      <c r="F16" s="120"/>
      <c r="G16" s="120"/>
      <c r="H16" s="677"/>
      <c r="I16" s="678"/>
      <c r="J16" s="678"/>
      <c r="K16" s="678"/>
      <c r="L16" s="678"/>
      <c r="M16" s="678"/>
      <c r="N16" s="678"/>
      <c r="O16" s="678"/>
      <c r="P16" s="678"/>
      <c r="Q16" s="678"/>
      <c r="R16" s="678"/>
      <c r="S16" s="678"/>
      <c r="T16" s="679"/>
      <c r="U16" s="166">
        <f>IF('Machinery(Non-GMO)'!G19='Machinery(Non-GMO)'!B54,0,'Machinery(Non-GMO)'!G20)</f>
        <v>0</v>
      </c>
      <c r="V16" s="166">
        <f>IF('Machinery(Non-GMO)'!J19='Machinery(Non-GMO)'!B54,0,'Machinery(Non-GMO)'!J20)</f>
        <v>0</v>
      </c>
      <c r="W16" s="166">
        <f>IF('Machinery(Non-GMO)'!J19='Machinery(Non-GMO)'!B54,0,'Machinery(Non-GMO)'!J20)</f>
        <v>0</v>
      </c>
      <c r="X16" s="166">
        <f>IF('Machinery(Non-GMO)'!H19='Machinery(Non-GMO)'!B54,0,'Machinery(Non-GMO)'!H20)</f>
        <v>0</v>
      </c>
      <c r="Y16" s="166">
        <f>IF('Machinery(Non-GMO)'!I19='Machinery(Non-GMO)'!B54,0,'Machinery(Non-GMO)'!I20)</f>
        <v>0</v>
      </c>
      <c r="Z16" s="166">
        <f>IF('Machinery(Non-GMO)'!K19='Machinery(Non-GMO)'!B54,0,'Machinery(Non-GMO)'!K20)</f>
        <v>0</v>
      </c>
    </row>
    <row r="17" spans="1:26" s="1" customFormat="1" ht="43.15" customHeight="1" x14ac:dyDescent="0.2">
      <c r="A17" s="160" t="s">
        <v>0</v>
      </c>
      <c r="B17" s="160" t="s">
        <v>295</v>
      </c>
      <c r="C17" s="160" t="s">
        <v>296</v>
      </c>
      <c r="D17" s="160" t="s">
        <v>294</v>
      </c>
      <c r="E17" s="25" t="s">
        <v>250</v>
      </c>
      <c r="F17" s="25" t="s">
        <v>109</v>
      </c>
      <c r="G17" s="25" t="s">
        <v>117</v>
      </c>
      <c r="H17" s="155" t="s">
        <v>394</v>
      </c>
      <c r="I17" s="155" t="s">
        <v>10</v>
      </c>
      <c r="J17" s="155" t="s">
        <v>401</v>
      </c>
      <c r="K17" s="155" t="s">
        <v>402</v>
      </c>
      <c r="L17" s="155" t="s">
        <v>2</v>
      </c>
      <c r="M17" s="155" t="s">
        <v>6</v>
      </c>
      <c r="N17" s="155" t="s">
        <v>3</v>
      </c>
      <c r="O17" s="155" t="s">
        <v>400</v>
      </c>
      <c r="P17" s="155" t="s">
        <v>4</v>
      </c>
      <c r="Q17" s="155" t="s">
        <v>7</v>
      </c>
      <c r="R17" s="155" t="s">
        <v>8</v>
      </c>
      <c r="S17" s="155" t="s">
        <v>9</v>
      </c>
      <c r="T17" s="155"/>
      <c r="U17" s="155" t="s">
        <v>86</v>
      </c>
      <c r="V17" s="155" t="s">
        <v>88</v>
      </c>
      <c r="W17" s="155" t="s">
        <v>71</v>
      </c>
      <c r="X17" s="155" t="s">
        <v>8</v>
      </c>
      <c r="Y17" s="155" t="s">
        <v>89</v>
      </c>
      <c r="Z17" s="155" t="s">
        <v>50</v>
      </c>
    </row>
    <row r="18" spans="1:26" x14ac:dyDescent="0.2">
      <c r="A18" s="4"/>
      <c r="B18" s="4"/>
      <c r="C18" s="4"/>
      <c r="D18" s="4"/>
      <c r="E18" s="26"/>
      <c r="F18" s="24"/>
      <c r="G18" s="31"/>
      <c r="H18" s="9"/>
      <c r="I18" s="9"/>
      <c r="J18" s="9"/>
      <c r="K18" s="9"/>
      <c r="L18" s="9"/>
      <c r="M18" s="9"/>
      <c r="N18" s="9"/>
      <c r="O18" s="9"/>
      <c r="P18" s="9"/>
      <c r="Q18" s="9"/>
      <c r="R18" s="9"/>
      <c r="S18" s="9"/>
      <c r="T18" s="9"/>
      <c r="U18" s="9"/>
      <c r="V18" s="9"/>
      <c r="W18" s="9"/>
      <c r="X18" s="9"/>
      <c r="Y18" s="9"/>
      <c r="Z18" s="9"/>
    </row>
    <row r="19" spans="1:26" x14ac:dyDescent="0.2">
      <c r="A19" s="10" t="s">
        <v>11</v>
      </c>
      <c r="B19" s="10"/>
      <c r="C19" s="10"/>
      <c r="D19" s="10"/>
      <c r="E19" s="27"/>
      <c r="F19" s="28"/>
      <c r="G19" s="32"/>
      <c r="H19" s="6"/>
      <c r="I19" s="6"/>
      <c r="J19" s="6"/>
      <c r="K19" s="6"/>
      <c r="L19" s="9"/>
      <c r="M19" s="9"/>
      <c r="N19" s="9"/>
      <c r="O19" s="9"/>
      <c r="P19" s="9"/>
      <c r="Q19" s="9"/>
      <c r="R19" s="9"/>
      <c r="S19" s="9"/>
      <c r="T19" s="9"/>
      <c r="U19" s="9"/>
      <c r="V19" s="9"/>
      <c r="W19" s="9"/>
      <c r="X19" s="9"/>
      <c r="Y19" s="9"/>
      <c r="Z19" s="9"/>
    </row>
    <row r="20" spans="1:26" x14ac:dyDescent="0.2">
      <c r="A20" s="9" t="s">
        <v>12</v>
      </c>
      <c r="B20" s="115"/>
      <c r="C20" s="115"/>
      <c r="D20" s="132"/>
      <c r="E20" s="174"/>
      <c r="F20" s="175"/>
      <c r="G20" s="33"/>
      <c r="H20" s="6"/>
      <c r="I20" s="6">
        <f>IF(G20&gt;0,G20,H20-(L20*B$2*1.05)+M20-O20*12.5+P20)</f>
        <v>0.54042810395622842</v>
      </c>
      <c r="J20" s="6"/>
      <c r="K20" s="6"/>
      <c r="L20" s="11">
        <v>2.06175</v>
      </c>
      <c r="M20" s="21">
        <f t="shared" ref="M20:M23" si="0">L20*B$3*(1+B$13)</f>
        <v>4.1492718749999993</v>
      </c>
      <c r="N20" s="12">
        <v>0.25072390572390574</v>
      </c>
      <c r="O20" s="12">
        <f t="shared" ref="O20:O23" si="1">N20*(1+B$16)</f>
        <v>0.28833249158249158</v>
      </c>
      <c r="P20" s="21">
        <f>O20*B$4*(1-B$7)+O20*B$6*(B$7)</f>
        <v>4.3249873737373736</v>
      </c>
      <c r="Q20" s="21">
        <f>I20-M20-P20</f>
        <v>-7.9338311447811449</v>
      </c>
      <c r="R20" s="21">
        <f>Q20*B$12</f>
        <v>-2.6181642777777778</v>
      </c>
      <c r="S20" s="21">
        <f>Q20-R20</f>
        <v>-5.3156668670033671</v>
      </c>
      <c r="T20" s="9"/>
      <c r="U20" s="21">
        <f t="shared" ref="U20:U29" si="2">IF(U$15="Increase",IF(F20="y",0,IF($E20&gt;0,M20*$E20*(1+U$16),0)),IF(F20="y",0,IF($E20&gt;0,M20*$E20*(1-U$16),0)))</f>
        <v>0</v>
      </c>
      <c r="V20" s="21">
        <f>IF(V$15="Increase",IF(F20="y",0,IF($E20&gt;0,(O20*B$4*(1-B$7))*$E20*(1+V$16),0)),IF(F20="y",0,IF($E20&gt;0,(O20*B$4*(1-B$7))*$E20*(1-V$16),0)))</f>
        <v>0</v>
      </c>
      <c r="W20" s="21">
        <f>IF(W$15="Increase",IF(F20="y",0,IF($E20&gt;0,(O20*B$6*(B$7))*$E20*(1+W$16),0)),IF(F20="y",0,IF($E20&gt;0,(O20*B$6*(B$7))*$E20*(1-W$16),0)))</f>
        <v>0</v>
      </c>
      <c r="X20" s="21">
        <f t="shared" ref="X20:X29" si="3">IF(X$15="Increase",IF(F20="y",0,IF($E20&gt;0,R20*$E20*(1+X$16),0)),IF(F20="y",0,IF($E20&gt;0,R20*$E20*(1-X$16),0)))</f>
        <v>0</v>
      </c>
      <c r="Y20" s="21">
        <f t="shared" ref="Y20:Y28" si="4">IF(Y$15="Increase",IF(F20="y",0,IF($E20&gt;0,S20*$E20*(1+Y$16),0)),IF(F20="y",0,IF($E20&gt;0,S20*$E20*(1-Y$16),0)))</f>
        <v>0</v>
      </c>
      <c r="Z20" s="21">
        <f t="shared" ref="Z20:Z29" si="5">IF(Z$15="Increase",IF(F20="y",I20*E20*(1+Z$16),0),IF(F20="y",I20*E20*(1-Z$16),0))</f>
        <v>0</v>
      </c>
    </row>
    <row r="21" spans="1:26" x14ac:dyDescent="0.2">
      <c r="A21" s="9" t="s">
        <v>13</v>
      </c>
      <c r="B21" s="115">
        <v>0.5</v>
      </c>
      <c r="C21" s="115">
        <v>0</v>
      </c>
      <c r="D21" s="132">
        <f>IF('Machinery(Non-GMO)'!B34='Machinery(Non-GMO)'!G56,'Machinery(Non-GMO)'!D34,IF('Machinery(Non-GMO)'!B35='Machinery(Non-GMO)'!G60,'Machinery(Non-GMO)'!D35,0))</f>
        <v>0</v>
      </c>
      <c r="E21" s="174">
        <f>IF('Machinery(Non-GMO)'!$C$16='Machinery(Non-GMO)'!$B$68,0,IF('Machinery(Non-GMO)'!C17='Machinery(Non-GMO)'!B72,D21,IF(OR('Machinery(Non-GMO)'!B34='Machinery(Non-GMO)'!G56,'Machinery(Non-GMO)'!B35='Machinery(Non-GMO)'!G60),B21)))</f>
        <v>0</v>
      </c>
      <c r="F21" s="175" t="str">
        <f>IF('Machinery(Non-GMO)'!C17='Machinery(Non-GMO)'!B73,'Machinery(Non-GMO)'!B50,IF('Machinery(Non-GMO)'!B34='Machinery(Non-GMO)'!G56,'Machinery(Non-GMO)'!E34,IF('Machinery(Non-GMO)'!B35='Machinery(Non-GMO)'!G60,'Machinery(Non-GMO)'!E35,'Machinery(Non-GMO)'!B50)))</f>
        <v>N</v>
      </c>
      <c r="G21" s="33"/>
      <c r="H21" s="6">
        <v>18</v>
      </c>
      <c r="I21" s="6">
        <f>H21+J21+K21</f>
        <v>17.734999999999999</v>
      </c>
      <c r="J21" s="6">
        <f>L21*(B$3-B$2)</f>
        <v>-0.26500000000000001</v>
      </c>
      <c r="K21" s="6">
        <f>(B$4*(1-B$7)+B$6*(B$7) - B$14)*O21</f>
        <v>0</v>
      </c>
      <c r="L21" s="11">
        <v>1.06</v>
      </c>
      <c r="M21" s="21">
        <f>L21*B$3*(1+B$13)</f>
        <v>2.1332499999999999</v>
      </c>
      <c r="N21" s="12">
        <v>6.6969696969696971E-2</v>
      </c>
      <c r="O21" s="12">
        <f>N21*(1+B$16)</f>
        <v>7.7015151515151509E-2</v>
      </c>
      <c r="P21" s="21">
        <f>O21*B$4*(1-B$7)+O21*B$6*(B$7)</f>
        <v>1.1552272727272725</v>
      </c>
      <c r="Q21" s="21">
        <f t="shared" ref="Q21:Q29" si="6">I21-M21-P21</f>
        <v>14.446522727272727</v>
      </c>
      <c r="R21" s="21">
        <f>Q21*B$12</f>
        <v>4.7673525000000003</v>
      </c>
      <c r="S21" s="21">
        <f t="shared" ref="S21:S29" si="7">Q21-R21</f>
        <v>9.6791702272727278</v>
      </c>
      <c r="T21" s="9"/>
      <c r="U21" s="21">
        <f t="shared" si="2"/>
        <v>0</v>
      </c>
      <c r="V21" s="21">
        <f>IF(V$15="Increase",IF(F21="y",0,IF($E21&gt;0,(O21*B$4*(1-B$7))*$E21*(1+V$16),0)),IF(F21="y",0,IF($E21&gt;0,(O21*B$4*(1-B$7))*$E21*(1-V$16),0)))</f>
        <v>0</v>
      </c>
      <c r="W21" s="21">
        <f>IF(W$15="Increase",IF(F21="y",0,IF($E21&gt;0,(O21*B$6*(B$7))*$E21*(1+W$16),0)),IF(F21="y",0,IF($E21&gt;0,(O21*B$6*(B$7))*$E21*(1-W$16),0)))</f>
        <v>0</v>
      </c>
      <c r="X21" s="21">
        <f t="shared" si="3"/>
        <v>0</v>
      </c>
      <c r="Y21" s="21">
        <f t="shared" si="4"/>
        <v>0</v>
      </c>
      <c r="Z21" s="21">
        <f t="shared" si="5"/>
        <v>0</v>
      </c>
    </row>
    <row r="22" spans="1:26" x14ac:dyDescent="0.2">
      <c r="A22" s="9" t="s">
        <v>14</v>
      </c>
      <c r="B22" s="115">
        <v>0.5</v>
      </c>
      <c r="C22" s="115">
        <v>0</v>
      </c>
      <c r="D22" s="132">
        <f>IF('Machinery(Non-GMO)'!B34='Machinery(Non-GMO)'!G57,'Machinery(Non-GMO)'!D34,IF('Machinery(Non-GMO)'!B35='Machinery(Non-GMO)'!G61,'Machinery(Non-GMO)'!D35,0))</f>
        <v>0</v>
      </c>
      <c r="E22" s="174">
        <f>IF('Machinery(Non-GMO)'!$C$16='Machinery(Non-GMO)'!$B$68,0,IF('Machinery(Non-GMO)'!C17='Machinery(Non-GMO)'!B72,D22,IF(OR('Machinery(Non-GMO)'!B34='Machinery(Non-GMO)'!G57,'Machinery(Non-GMO)'!B35='Machinery(Non-GMO)'!G61),B22)))</f>
        <v>0</v>
      </c>
      <c r="F22" s="175" t="str">
        <f>IF('Machinery(Non-GMO)'!C17='Machinery(Non-GMO)'!B73,'Machinery(Non-GMO)'!B50,IF('Machinery(Non-GMO)'!B34='Machinery(Non-GMO)'!G57,'Machinery(Non-GMO)'!E34,IF('Machinery(Non-GMO)'!B35='Machinery(Non-GMO)'!G61,'Machinery(Non-GMO)'!E35,'Machinery(Non-GMO)'!B50)))</f>
        <v>N</v>
      </c>
      <c r="G22" s="33"/>
      <c r="H22" s="6">
        <v>15.5</v>
      </c>
      <c r="I22" s="327">
        <f>H22+J22+K22</f>
        <v>15.2745</v>
      </c>
      <c r="J22" s="6">
        <f>L22*(B$3-B$2)</f>
        <v>-0.22550000000000001</v>
      </c>
      <c r="K22" s="6">
        <f>(B$4*(1-B$7)+B$6*(B$7) - B$14)*O22</f>
        <v>0</v>
      </c>
      <c r="L22" s="11">
        <v>0.90200000000000002</v>
      </c>
      <c r="M22" s="21">
        <f>L22*B$3*(1+B$13)</f>
        <v>1.815275</v>
      </c>
      <c r="N22" s="12">
        <v>0.13191919191919191</v>
      </c>
      <c r="O22" s="12">
        <f t="shared" si="1"/>
        <v>0.15170707070707068</v>
      </c>
      <c r="P22" s="21">
        <f>O22*B$4*(1-B$7)+O22*B$6*(B$7)</f>
        <v>2.2756060606060604</v>
      </c>
      <c r="Q22" s="21">
        <f t="shared" si="6"/>
        <v>11.18361893939394</v>
      </c>
      <c r="R22" s="21">
        <f>Q22*B$12</f>
        <v>3.6905942500000002</v>
      </c>
      <c r="S22" s="21">
        <f t="shared" si="7"/>
        <v>7.4930246893939394</v>
      </c>
      <c r="T22" s="9"/>
      <c r="U22" s="21">
        <f t="shared" si="2"/>
        <v>0</v>
      </c>
      <c r="V22" s="21">
        <f>IF(V$15="Increase",IF(F22="y",0,IF($E22&gt;0,(O22*B$4*(1-B$7))*$E22*(1+V$16),0)),IF(F22="y",0,IF($E22&gt;0,(O22*B$4*(1-B$7))*$E22*(1-V$16),0)))</f>
        <v>0</v>
      </c>
      <c r="W22" s="21">
        <f>IF(W$15="Increase",IF(F22="y",0,IF($E22&gt;0,(O22*B$6*(B$7))*$E22*(1+W$16),0)),IF(F22="y",0,IF($E22&gt;0,(O22*B$6*(B$7))*$E22*(1-W$16),0)))</f>
        <v>0</v>
      </c>
      <c r="X22" s="21">
        <f t="shared" si="3"/>
        <v>0</v>
      </c>
      <c r="Y22" s="21">
        <f t="shared" si="4"/>
        <v>0</v>
      </c>
      <c r="Z22" s="21">
        <f t="shared" si="5"/>
        <v>0</v>
      </c>
    </row>
    <row r="23" spans="1:26" x14ac:dyDescent="0.2">
      <c r="A23" s="9" t="s">
        <v>15</v>
      </c>
      <c r="B23" s="9"/>
      <c r="C23" s="9"/>
      <c r="D23" s="132"/>
      <c r="E23" s="176"/>
      <c r="F23" s="175"/>
      <c r="G23" s="33"/>
      <c r="H23" s="6"/>
      <c r="I23" s="6">
        <f>IF(G23&gt;0,G23,H23-(L23*B$2*1.05)+M23-O23*12.5+P23)</f>
        <v>0.24100462962962865</v>
      </c>
      <c r="J23" s="6"/>
      <c r="K23" s="6"/>
      <c r="L23" s="11">
        <v>1.87</v>
      </c>
      <c r="M23" s="21">
        <f t="shared" si="0"/>
        <v>3.7633749999999995</v>
      </c>
      <c r="N23" s="12">
        <v>0.14074074074074072</v>
      </c>
      <c r="O23" s="12">
        <f t="shared" si="1"/>
        <v>0.16185185185185183</v>
      </c>
      <c r="P23" s="21">
        <f>O23*B$4*(1-B$7)+O23*B$6*(B$7)</f>
        <v>2.4277777777777776</v>
      </c>
      <c r="Q23" s="21">
        <f t="shared" si="6"/>
        <v>-5.9501481481481484</v>
      </c>
      <c r="R23" s="21">
        <f>Q23*B$12</f>
        <v>-1.963548888888889</v>
      </c>
      <c r="S23" s="21">
        <f t="shared" si="7"/>
        <v>-3.9865992592592594</v>
      </c>
      <c r="T23" s="9"/>
      <c r="U23" s="21">
        <f t="shared" si="2"/>
        <v>0</v>
      </c>
      <c r="V23" s="21">
        <f>IF(V$15="Increase",IF(F23="y",0,IF($E23&gt;0,(O23*B$4*(1-B$7))*$E23*(1+V$16),0)),IF(F23="y",0,IF($E23&gt;0,(O23*B$4*(1-B$7))*$E23*(1-V$16),0)))</f>
        <v>0</v>
      </c>
      <c r="W23" s="21">
        <f>IF(W$15="Increase",IF(F23="y",0,IF($E23&gt;0,(O23*B$6*(B$7))*$E23*(1+W$16),0)),IF(F23="y",0,IF($E23&gt;0,(O23*B$6*(B$7))*$E23*(1-W$16),0)))</f>
        <v>0</v>
      </c>
      <c r="X23" s="21">
        <f t="shared" si="3"/>
        <v>0</v>
      </c>
      <c r="Y23" s="21">
        <f t="shared" si="4"/>
        <v>0</v>
      </c>
      <c r="Z23" s="21">
        <f t="shared" si="5"/>
        <v>0</v>
      </c>
    </row>
    <row r="24" spans="1:26" x14ac:dyDescent="0.2">
      <c r="A24" s="9"/>
      <c r="B24" s="9"/>
      <c r="C24" s="9"/>
      <c r="D24" s="132"/>
      <c r="E24" s="176"/>
      <c r="F24" s="175"/>
      <c r="G24" s="33"/>
      <c r="H24" s="6"/>
      <c r="I24" s="6"/>
      <c r="J24" s="6"/>
      <c r="K24" s="6"/>
      <c r="L24" s="11"/>
      <c r="M24" s="21"/>
      <c r="N24" s="12"/>
      <c r="O24" s="12"/>
      <c r="P24" s="21"/>
      <c r="Q24" s="21"/>
      <c r="R24" s="21"/>
      <c r="S24" s="21"/>
      <c r="T24" s="9"/>
      <c r="U24" s="21"/>
      <c r="V24" s="21"/>
      <c r="W24" s="21"/>
      <c r="X24" s="21"/>
      <c r="Y24" s="21"/>
      <c r="Z24" s="21"/>
    </row>
    <row r="25" spans="1:26" x14ac:dyDescent="0.2">
      <c r="A25" s="9" t="s">
        <v>16</v>
      </c>
      <c r="B25" s="115">
        <v>2</v>
      </c>
      <c r="C25" s="115">
        <v>0</v>
      </c>
      <c r="D25" s="132">
        <f>IF('Machinery(Non-GMO)'!C16='Machinery(Non-GMO)'!B68,0,'Machinery(Non-GMO)'!D28)</f>
        <v>0</v>
      </c>
      <c r="E25" s="174">
        <f>IF('Machinery(Non-GMO)'!$C$17='Machinery(Non-GMO)'!$B$72,D25,IF('Machinery(Non-GMO)'!$C$16='Machinery(Non-GMO)'!$B$69,B25,C25))</f>
        <v>0</v>
      </c>
      <c r="F25" s="175" t="str">
        <f>IF('Machinery(Non-GMO)'!C17='Machinery(Non-GMO)'!B73,'Machinery(Non-GMO)'!B50,'Machinery(Non-GMO)'!E28)</f>
        <v>N</v>
      </c>
      <c r="G25" s="33"/>
      <c r="H25" s="6">
        <v>14.5</v>
      </c>
      <c r="I25" s="327">
        <f>H25+J25+K25</f>
        <v>14.343999999999999</v>
      </c>
      <c r="J25" s="6">
        <f>L25*(B$3-B$2)</f>
        <v>-0.15600000000000003</v>
      </c>
      <c r="K25" s="6">
        <f>(B$4*(1-B$7)+B$6*(B$7) - B$14)*O25</f>
        <v>0</v>
      </c>
      <c r="L25" s="11">
        <v>0.62400000000000011</v>
      </c>
      <c r="M25" s="21">
        <f t="shared" ref="M25:M29" si="8">L25*B$3*(1+B$13)</f>
        <v>1.2558</v>
      </c>
      <c r="N25" s="12">
        <v>4.631313131313132E-2</v>
      </c>
      <c r="O25" s="12">
        <f t="shared" ref="O25:O29" si="9">N25*(1+B$16)</f>
        <v>5.3260101010101014E-2</v>
      </c>
      <c r="P25" s="21">
        <f>O25*B$4*(1-B$7)+O25*B$6*(B$7)</f>
        <v>0.7989015151515152</v>
      </c>
      <c r="Q25" s="21">
        <f t="shared" si="6"/>
        <v>12.289298484848484</v>
      </c>
      <c r="R25" s="21">
        <f>Q25*B$12</f>
        <v>4.0554684999999999</v>
      </c>
      <c r="S25" s="21">
        <f t="shared" si="7"/>
        <v>8.2338299848484837</v>
      </c>
      <c r="T25" s="9"/>
      <c r="U25" s="21">
        <f t="shared" si="2"/>
        <v>0</v>
      </c>
      <c r="V25" s="21">
        <f>IF(V$15="Increase",IF(F25="y",0,IF($E25&gt;0,(O25*B$4*(1-B$7))*$E25*(1+V$16),0)),IF(F25="y",0,IF($E25&gt;0,(O25*B$4*(1-B$7))*$E25*(1-V$16),0)))</f>
        <v>0</v>
      </c>
      <c r="W25" s="21">
        <f>IF(W$15="Increase",IF(F25="y",0,IF($E25&gt;0,(O25*B$6*(B$7))*$E25*(1+W$16),0)),IF(F25="y",0,IF($E25&gt;0,(O25*B$6*(B$7))*$E25*(1-W$16),0)))</f>
        <v>0</v>
      </c>
      <c r="X25" s="21">
        <f t="shared" si="3"/>
        <v>0</v>
      </c>
      <c r="Y25" s="21">
        <f t="shared" si="4"/>
        <v>0</v>
      </c>
      <c r="Z25" s="21">
        <f t="shared" si="5"/>
        <v>0</v>
      </c>
    </row>
    <row r="26" spans="1:26" x14ac:dyDescent="0.2">
      <c r="A26" s="9" t="s">
        <v>17</v>
      </c>
      <c r="B26" s="9"/>
      <c r="C26" s="9"/>
      <c r="D26" s="108"/>
      <c r="E26" s="176"/>
      <c r="F26" s="175"/>
      <c r="G26" s="33"/>
      <c r="H26" s="6"/>
      <c r="I26" s="6">
        <f>IF(G26&gt;0,G26,H26-(L26*B$2*1.05)+M26-O26*12.5+P26)</f>
        <v>0.250072727272727</v>
      </c>
      <c r="J26" s="6"/>
      <c r="K26" s="6"/>
      <c r="L26" s="11">
        <v>0.36799999999999999</v>
      </c>
      <c r="M26" s="21">
        <f t="shared" si="8"/>
        <v>0.74059999999999993</v>
      </c>
      <c r="N26" s="12">
        <v>9.818181818181819E-2</v>
      </c>
      <c r="O26" s="12">
        <f t="shared" si="9"/>
        <v>0.1129090909090909</v>
      </c>
      <c r="P26" s="21">
        <f>O26*B$4*(1-B$7)+O26*B$6*(B$7)</f>
        <v>1.6936363636363636</v>
      </c>
      <c r="Q26" s="21">
        <f t="shared" si="6"/>
        <v>-2.1841636363636363</v>
      </c>
      <c r="R26" s="21">
        <f>Q26*B$12</f>
        <v>-0.72077400000000003</v>
      </c>
      <c r="S26" s="21">
        <f t="shared" si="7"/>
        <v>-1.4633896363636363</v>
      </c>
      <c r="T26" s="9"/>
      <c r="U26" s="21">
        <f t="shared" si="2"/>
        <v>0</v>
      </c>
      <c r="V26" s="21">
        <f>IF(V$15="Increase",IF(F26="y",0,IF($E26&gt;0,(O26*B$4*(1-B$7))*$E26*(1+V$16),0)),IF(F26="y",0,IF($E26&gt;0,(O26*B$4*(1-B$7))*$E26*(1-V$16),0)))</f>
        <v>0</v>
      </c>
      <c r="W26" s="21">
        <f>IF(W$15="Increase",IF(F26="y",0,IF($E26&gt;0,(O26*B$6*(B$7))*$E26*(1+W$16),0)),IF(F26="y",0,IF($E26&gt;0,(O26*B$6*(B$7))*$E26*(1-W$16),0)))</f>
        <v>0</v>
      </c>
      <c r="X26" s="21">
        <f t="shared" si="3"/>
        <v>0</v>
      </c>
      <c r="Y26" s="21">
        <f t="shared" si="4"/>
        <v>0</v>
      </c>
      <c r="Z26" s="21">
        <f t="shared" si="5"/>
        <v>0</v>
      </c>
    </row>
    <row r="27" spans="1:26" x14ac:dyDescent="0.2">
      <c r="A27" s="9" t="s">
        <v>18</v>
      </c>
      <c r="B27" s="115">
        <v>0.5</v>
      </c>
      <c r="C27" s="115">
        <v>0</v>
      </c>
      <c r="D27" s="132">
        <f>IF('Machinery(Non-GMO)'!B34='Machinery(Non-GMO)'!G58,'Machinery(Non-GMO)'!D34,IF('Machinery(Non-GMO)'!B35='Machinery(Non-GMO)'!G62,'Machinery(Non-GMO)'!D35,0))</f>
        <v>0</v>
      </c>
      <c r="E27" s="174">
        <f>IF('Machinery(Non-GMO)'!$C$16='Machinery(Non-GMO)'!$B$68,0,IF('Machinery(Non-GMO)'!C17='Machinery(Non-GMO)'!B72,D27,IF(OR('Machinery(Non-GMO)'!B34='Machinery(Non-GMO)'!G58,'Machinery(Non-GMO)'!B35='Machinery(Non-GMO)'!G62),B27)))</f>
        <v>0</v>
      </c>
      <c r="F27" s="175" t="str">
        <f>IF('Machinery(Non-GMO)'!C17='Machinery(Non-GMO)'!B73,'Machinery(Non-GMO)'!B50,IF('Machinery(Non-GMO)'!B34='Machinery(Non-GMO)'!G58,'Machinery(Non-GMO)'!E34,IF('Machinery(Non-GMO)'!B35='Machinery(Non-GMO)'!G62,'Machinery(Non-GMO)'!E35,'Machinery(Non-GMO)'!B50)))</f>
        <v>N</v>
      </c>
      <c r="G27" s="33"/>
      <c r="H27" s="6">
        <v>19.5</v>
      </c>
      <c r="I27" s="327">
        <f>H27+J27+K27</f>
        <v>18.916374999999999</v>
      </c>
      <c r="J27" s="6">
        <f>L27*(B$3-B$2)</f>
        <v>-0.58362499999999995</v>
      </c>
      <c r="K27" s="6">
        <f>(B$4*(1-B$7)+B$6*(B$7) - B$14)*O27</f>
        <v>0</v>
      </c>
      <c r="L27" s="11">
        <v>2.3344999999999998</v>
      </c>
      <c r="M27" s="21">
        <f t="shared" si="8"/>
        <v>4.6981812499999993</v>
      </c>
      <c r="N27" s="12">
        <v>0.20636363636363636</v>
      </c>
      <c r="O27" s="12">
        <f t="shared" si="9"/>
        <v>0.23731818181818179</v>
      </c>
      <c r="P27" s="21">
        <f>O27*B$4*(1-B$7)+O27*B$6*(B$7)</f>
        <v>3.5597727272727266</v>
      </c>
      <c r="Q27" s="21">
        <f t="shared" si="6"/>
        <v>10.658421022727273</v>
      </c>
      <c r="R27" s="21">
        <f>Q27*B$12</f>
        <v>3.5172789375000004</v>
      </c>
      <c r="S27" s="21">
        <f t="shared" si="7"/>
        <v>7.1411420852272727</v>
      </c>
      <c r="T27" s="9"/>
      <c r="U27" s="21">
        <f t="shared" si="2"/>
        <v>0</v>
      </c>
      <c r="V27" s="21">
        <f>IF(V$15="Increase",IF(F27="y",0,IF($E27&gt;0,(O27*B$4*(1-B$7))*$E27*(1+V$16),0)),IF(F27="y",0,IF($E27&gt;0,(O27*B$4*(1-B$7))*$E27*(1-V$16),0)))</f>
        <v>0</v>
      </c>
      <c r="W27" s="21">
        <f>IF(W$15="Increase",IF(F27="y",0,IF($E27&gt;0,(O27*B$6*(B$7))*$E27*(1+W$16),0)),IF(F27="y",0,IF($E27&gt;0,(O27*B$6*(B$7))*$E27*(1-W$16),0)))</f>
        <v>0</v>
      </c>
      <c r="X27" s="21">
        <f t="shared" si="3"/>
        <v>0</v>
      </c>
      <c r="Y27" s="21">
        <f t="shared" si="4"/>
        <v>0</v>
      </c>
      <c r="Z27" s="21">
        <f t="shared" si="5"/>
        <v>0</v>
      </c>
    </row>
    <row r="28" spans="1:26" x14ac:dyDescent="0.2">
      <c r="A28" s="9" t="s">
        <v>19</v>
      </c>
      <c r="B28" s="9"/>
      <c r="C28" s="9"/>
      <c r="D28" s="108"/>
      <c r="E28" s="176"/>
      <c r="F28" s="175"/>
      <c r="G28" s="33"/>
      <c r="H28" s="6"/>
      <c r="I28" s="6">
        <f>IF(G28&gt;0,G28,H28-(L28*B$2*1.05)+M28-O28*12.5+P28)</f>
        <v>0.2076937815656561</v>
      </c>
      <c r="J28" s="6"/>
      <c r="K28" s="6"/>
      <c r="L28" s="11">
        <v>1.9442499999999998</v>
      </c>
      <c r="M28" s="21">
        <f t="shared" si="8"/>
        <v>3.912803124999999</v>
      </c>
      <c r="N28" s="12">
        <v>0.13141414141414143</v>
      </c>
      <c r="O28" s="12">
        <f t="shared" si="9"/>
        <v>0.15112626262626264</v>
      </c>
      <c r="P28" s="21">
        <f>O28*B$4*(1-B$7)+O28*B$6*(B$7)</f>
        <v>2.2668939393939396</v>
      </c>
      <c r="Q28" s="21">
        <f t="shared" si="6"/>
        <v>-5.9720032828282825</v>
      </c>
      <c r="R28" s="21">
        <f>Q28*B$12</f>
        <v>-1.9707610833333333</v>
      </c>
      <c r="S28" s="21">
        <f t="shared" si="7"/>
        <v>-4.001242199494949</v>
      </c>
      <c r="T28" s="9"/>
      <c r="U28" s="21">
        <f t="shared" si="2"/>
        <v>0</v>
      </c>
      <c r="V28" s="21">
        <f>IF(V$15="Increase",IF(F28="y",0,IF($E28&gt;0,(O28*B$4*(1-B$7))*$E28*(1+V$16),0)),IF(F28="y",0,IF($E28&gt;0,(O28*B$4*(1-B$7))*$E28*(1-V$16),0)))</f>
        <v>0</v>
      </c>
      <c r="W28" s="21">
        <f>IF(W$15="Increase",IF(F28="y",0,IF($E28&gt;0,(O28*B$6*(B$7))*$E28*(1+W$16),0)),IF(F28="y",0,IF($E28&gt;0,(O28*B$6*(B$7))*$E28*(1-W$16),0)))</f>
        <v>0</v>
      </c>
      <c r="X28" s="21">
        <f t="shared" si="3"/>
        <v>0</v>
      </c>
      <c r="Y28" s="21">
        <f t="shared" si="4"/>
        <v>0</v>
      </c>
      <c r="Z28" s="21">
        <f t="shared" si="5"/>
        <v>0</v>
      </c>
    </row>
    <row r="29" spans="1:26" x14ac:dyDescent="0.2">
      <c r="A29" s="9" t="s">
        <v>20</v>
      </c>
      <c r="B29" s="115">
        <v>0.5</v>
      </c>
      <c r="C29" s="115">
        <v>0.5</v>
      </c>
      <c r="D29" s="132">
        <f>IF('Machinery(Non-GMO)'!C17='Machinery(Non-GMO)'!B72,'Machinery(Non-GMO)'!D33,0)</f>
        <v>0</v>
      </c>
      <c r="E29" s="174">
        <f>IF('Machinery(Non-GMO)'!B33='Machinery(Non-GMO)'!G53,0,IF('Machinery(Non-GMO)'!C17='Machinery(Non-GMO)'!B72,D29,IF('Machinery(Non-GMO)'!B33='Machinery(Non-GMO)'!G54,IF('Machinery(Non-GMO)'!C16='Machinery(Non-GMO)'!B69,B29,C29))))</f>
        <v>0</v>
      </c>
      <c r="F29" s="175" t="str">
        <f>IF('Machinery(Non-GMO)'!C17='Machinery(Non-GMO)'!B73,'Machinery(Non-GMO)'!B50,IF('Machinery(Non-GMO)'!B33='Machinery(Non-GMO)'!G54,'Machinery(Non-GMO)'!E33,'Machinery(Non-GMO)'!B50))</f>
        <v>N</v>
      </c>
      <c r="G29" s="33"/>
      <c r="H29" s="6">
        <v>13</v>
      </c>
      <c r="I29" s="327">
        <f>H29+J29+K29</f>
        <v>12.78725</v>
      </c>
      <c r="J29" s="6">
        <f>L29*(B$3-B$2)</f>
        <v>-0.21274999999999999</v>
      </c>
      <c r="K29" s="6">
        <f>(B$4*(1-B$7)+B$6*(B$7) - B$14)*O29</f>
        <v>0</v>
      </c>
      <c r="L29" s="11">
        <v>0.85099999999999998</v>
      </c>
      <c r="M29" s="21">
        <f t="shared" si="8"/>
        <v>1.7126374999999998</v>
      </c>
      <c r="N29" s="12">
        <v>0.14181818181818182</v>
      </c>
      <c r="O29" s="12">
        <f t="shared" si="9"/>
        <v>0.16309090909090906</v>
      </c>
      <c r="P29" s="21">
        <f>O29*B$4*(1-B$7)+O29*B$6*(B$7)</f>
        <v>2.4463636363636359</v>
      </c>
      <c r="Q29" s="21">
        <f t="shared" si="6"/>
        <v>8.6282488636363652</v>
      </c>
      <c r="R29" s="21">
        <f>Q29*B$12</f>
        <v>2.8473221250000007</v>
      </c>
      <c r="S29" s="21">
        <f t="shared" si="7"/>
        <v>5.7809267386363645</v>
      </c>
      <c r="T29" s="9"/>
      <c r="U29" s="21">
        <f t="shared" si="2"/>
        <v>0</v>
      </c>
      <c r="V29" s="21">
        <f>IF(V$15="Increase",IF(F29="y",0,IF($E29&gt;0,(O29*B$4*(1-B$7))*$E29*(1+V$16),0)),IF(F29="y",0,IF($E29&gt;0,(O29*B$4*(1-B$7))*$E29*(1-V$16),0)))</f>
        <v>0</v>
      </c>
      <c r="W29" s="21">
        <f>IF(W$15="Increase",IF(F29="y",0,IF($E29&gt;0,(O29*B$6*(B$7))*$E29*(1+W$16),0)),IF(F29="y",0,IF($E29&gt;0,(O29*B$6*(B$7))*$E29*(1-W$16),0)))</f>
        <v>0</v>
      </c>
      <c r="X29" s="21">
        <f t="shared" si="3"/>
        <v>0</v>
      </c>
      <c r="Y29" s="21">
        <f>IF(Y$15="Increase",IF(F29="y",0,IF($E29&gt;0,S29*$E29*(1+Y$16),0)),IF(F29="y",0,IF($E29&gt;0,S29*$E29*(1-Y$16),0)))</f>
        <v>0</v>
      </c>
      <c r="Z29" s="21">
        <f t="shared" si="5"/>
        <v>0</v>
      </c>
    </row>
    <row r="30" spans="1:26" x14ac:dyDescent="0.2">
      <c r="A30" s="9"/>
      <c r="B30" s="9"/>
      <c r="C30" s="9"/>
      <c r="D30" s="108"/>
      <c r="E30" s="176"/>
      <c r="F30" s="175"/>
      <c r="G30" s="33"/>
      <c r="H30" s="6"/>
      <c r="I30" s="6"/>
      <c r="J30" s="6"/>
      <c r="K30" s="6"/>
      <c r="L30" s="9"/>
      <c r="M30" s="9"/>
      <c r="N30" s="9"/>
      <c r="O30" s="9"/>
      <c r="P30" s="9"/>
      <c r="Q30" s="9"/>
      <c r="R30" s="9"/>
      <c r="S30" s="9"/>
      <c r="T30" s="9"/>
      <c r="U30" s="9"/>
      <c r="V30" s="9"/>
      <c r="W30" s="9"/>
      <c r="X30" s="9"/>
      <c r="Y30" s="9"/>
      <c r="Z30" s="9"/>
    </row>
    <row r="31" spans="1:26" x14ac:dyDescent="0.2">
      <c r="A31" s="10" t="s">
        <v>21</v>
      </c>
      <c r="B31" s="10"/>
      <c r="C31" s="10"/>
      <c r="D31" s="320"/>
      <c r="E31" s="176"/>
      <c r="F31" s="175"/>
      <c r="G31" s="33"/>
      <c r="H31" s="6"/>
      <c r="I31" s="6"/>
      <c r="J31" s="6"/>
      <c r="K31" s="6"/>
      <c r="L31" s="9"/>
      <c r="M31" s="9"/>
      <c r="N31" s="9"/>
      <c r="O31" s="9"/>
      <c r="P31" s="9"/>
      <c r="Q31" s="9"/>
      <c r="R31" s="9"/>
      <c r="S31" s="9"/>
      <c r="T31" s="9"/>
      <c r="U31" s="9"/>
      <c r="V31" s="9"/>
      <c r="W31" s="9"/>
      <c r="X31" s="9"/>
      <c r="Y31" s="9"/>
      <c r="Z31" s="9"/>
    </row>
    <row r="32" spans="1:26" x14ac:dyDescent="0.2">
      <c r="A32" s="9" t="s">
        <v>22</v>
      </c>
      <c r="B32" s="115">
        <v>1</v>
      </c>
      <c r="C32" s="115">
        <v>0</v>
      </c>
      <c r="D32" s="132">
        <f>IF('Machinery(Non-GMO)'!C16='Machinery(Non-GMO)'!B68,0,'Machinery(Non-GMO)'!D22)</f>
        <v>0</v>
      </c>
      <c r="E32" s="174">
        <f>IF('Machinery(Non-GMO)'!$C$17='Machinery(Non-GMO)'!$B$72,D32,IF('Machinery(Non-GMO)'!$C$16='Machinery(Non-GMO)'!$B$69,B32,C32))</f>
        <v>0</v>
      </c>
      <c r="F32" s="175" t="str">
        <f>IF('Machinery(Non-GMO)'!C17='Machinery(Non-GMO)'!B73,'Machinery(Non-GMO)'!B50,'Machinery(Non-GMO)'!E22)</f>
        <v>N</v>
      </c>
      <c r="G32" s="33"/>
      <c r="H32" s="6">
        <v>19</v>
      </c>
      <c r="I32" s="327">
        <f>H32+J32+K32</f>
        <v>18.882375</v>
      </c>
      <c r="J32" s="6">
        <f>L32*(B$3-B$2)</f>
        <v>-0.11762500000000001</v>
      </c>
      <c r="K32" s="6">
        <f>(B$4*(1-B$7)+B$6*(B$7) - B$14)*O32</f>
        <v>0</v>
      </c>
      <c r="L32" s="11">
        <v>0.47050000000000003</v>
      </c>
      <c r="M32" s="21">
        <f>L32*B$3*(1+B$13)</f>
        <v>0.94688125000000001</v>
      </c>
      <c r="N32" s="12">
        <v>8.037037037037037E-2</v>
      </c>
      <c r="O32" s="12">
        <f t="shared" ref="O32" si="10">N32*(1+B$16)</f>
        <v>9.2425925925925911E-2</v>
      </c>
      <c r="P32" s="21">
        <f>O32*B$4*(1-B$7)+O32*B$6*(B$7)</f>
        <v>1.3863888888888887</v>
      </c>
      <c r="Q32" s="21">
        <f t="shared" ref="Q32:Q37" si="11">I32-M32-P32</f>
        <v>16.549104861111111</v>
      </c>
      <c r="R32" s="21">
        <f>Q32*B$12</f>
        <v>5.4612046041666673</v>
      </c>
      <c r="S32" s="21">
        <f t="shared" ref="S32:S37" si="12">Q32-R32</f>
        <v>11.087900256944444</v>
      </c>
      <c r="T32" s="9"/>
      <c r="U32" s="21">
        <f t="shared" ref="U32:U37" si="13">IF(U$15="Increase",IF(F32="y",0,IF($E32&gt;0,M32*$E32*(1+U$16),0)),IF(F32="y",0,IF($E32&gt;0,M32*$E32*(1-U$16),0)))</f>
        <v>0</v>
      </c>
      <c r="V32" s="21">
        <f>IF(V$15="Increase",IF(F32="y",0,IF($E32&gt;0,(O32*B$4*(1-B$7))*$E32*(1+V$16),0)),IF(F32="y",0,IF($E32&gt;0,(O32*B$4*(1-B$7))*$E32*(1-V$16),0)))</f>
        <v>0</v>
      </c>
      <c r="W32" s="21">
        <f>IF(W$15="Increase",IF(F32="y",0,IF($E32&gt;0,(O32*B$6*(B$7))*$E32*(1+W$16),0)),IF(F32="y",0,IF($E32&gt;0,(O32*B$6*(B$7))*$E32*(1-W$16),0)))</f>
        <v>0</v>
      </c>
      <c r="X32" s="21">
        <f t="shared" ref="X32:X37" si="14">IF(X$15="Increase",IF(F32="y",0,IF($E32&gt;0,R32*$E32*(1+X$16),0)),IF(F32="y",0,IF($E32&gt;0,R32*$E32*(1-X$16),0)))</f>
        <v>0</v>
      </c>
      <c r="Y32" s="21">
        <f t="shared" ref="Y32:Y37" si="15">IF(Y$15="Increase",IF(F32="y",0,IF($E32&gt;0,S32*$E32*(1+Y$16),0)),IF(F32="y",0,IF($E32&gt;0,S32*$E32*(1-Y$16),0)))</f>
        <v>0</v>
      </c>
      <c r="Z32" s="21">
        <f t="shared" ref="Z32:Z37" si="16">IF(Z$15="Increase",IF(F32="y",I32*E32*(1+Z$16),0),IF(F32="y",I32*E32*(1-Z$16),0))</f>
        <v>0</v>
      </c>
    </row>
    <row r="33" spans="1:26" x14ac:dyDescent="0.2">
      <c r="A33" s="9"/>
      <c r="B33" s="9"/>
      <c r="C33" s="9"/>
      <c r="D33" s="108"/>
      <c r="E33" s="176"/>
      <c r="F33" s="175"/>
      <c r="G33" s="33"/>
      <c r="H33" s="6"/>
      <c r="I33" s="6"/>
      <c r="J33" s="6"/>
      <c r="K33" s="6"/>
      <c r="L33" s="11"/>
      <c r="M33" s="21"/>
      <c r="N33" s="12"/>
      <c r="O33" s="12"/>
      <c r="P33" s="21"/>
      <c r="Q33" s="21"/>
      <c r="R33" s="21"/>
      <c r="S33" s="21"/>
      <c r="T33" s="9"/>
      <c r="U33" s="21"/>
      <c r="V33" s="21"/>
      <c r="W33" s="21"/>
      <c r="X33" s="21"/>
      <c r="Y33" s="21"/>
      <c r="Z33" s="21"/>
    </row>
    <row r="34" spans="1:26" x14ac:dyDescent="0.2">
      <c r="A34" s="9" t="s">
        <v>24</v>
      </c>
      <c r="B34" s="9"/>
      <c r="C34" s="9"/>
      <c r="D34" s="108"/>
      <c r="E34" s="176"/>
      <c r="F34" s="175"/>
      <c r="G34" s="33"/>
      <c r="H34" s="6"/>
      <c r="I34" s="6">
        <f>IF(G34&gt;0,G34,H34-(L34*B$2*1.05)+M34-O34*12.5+P34)</f>
        <v>0.21702800925925914</v>
      </c>
      <c r="J34" s="6"/>
      <c r="K34" s="6"/>
      <c r="L34" s="11">
        <v>0.52550000000000008</v>
      </c>
      <c r="M34" s="21">
        <f t="shared" ref="M34:M37" si="17">L34*B$3*(1+B$13)</f>
        <v>1.0575687500000002</v>
      </c>
      <c r="N34" s="12">
        <v>9.1481481481481469E-2</v>
      </c>
      <c r="O34" s="12">
        <f t="shared" ref="O34:O37" si="18">N34*(1+B$16)</f>
        <v>0.10520370370370369</v>
      </c>
      <c r="P34" s="21">
        <f t="shared" ref="P34:P37" si="19">O34*B$4*(1-B$7)+O34*B$6*(B$7)</f>
        <v>1.5780555555555553</v>
      </c>
      <c r="Q34" s="21">
        <f t="shared" si="11"/>
        <v>-2.4185962962962964</v>
      </c>
      <c r="R34" s="21">
        <f t="shared" ref="R34:R37" si="20">Q34*B$12</f>
        <v>-0.79813677777777781</v>
      </c>
      <c r="S34" s="21">
        <f t="shared" si="12"/>
        <v>-1.6204595185185187</v>
      </c>
      <c r="T34" s="9"/>
      <c r="U34" s="21">
        <f t="shared" si="13"/>
        <v>0</v>
      </c>
      <c r="V34" s="21">
        <f t="shared" ref="V34:V37" si="21">IF(V$15="Increase",IF(F34="y",0,IF($E34&gt;0,(O34*B$4*(1-B$7))*$E34*(1+V$16),0)),IF(F34="y",0,IF($E34&gt;0,(O34*B$4*(1-B$7))*$E34*(1-V$16),0)))</f>
        <v>0</v>
      </c>
      <c r="W34" s="21">
        <f t="shared" ref="W34:W37" si="22">IF(W$15="Increase",IF(F34="y",0,IF($E34&gt;0,(O34*B$6*(B$7))*$E34*(1+W$16),0)),IF(F34="y",0,IF($E34&gt;0,(O34*B$6*(B$7))*$E34*(1-W$16),0)))</f>
        <v>0</v>
      </c>
      <c r="X34" s="21">
        <f t="shared" si="14"/>
        <v>0</v>
      </c>
      <c r="Y34" s="21">
        <f t="shared" si="15"/>
        <v>0</v>
      </c>
      <c r="Z34" s="21">
        <f t="shared" si="16"/>
        <v>0</v>
      </c>
    </row>
    <row r="35" spans="1:26" x14ac:dyDescent="0.2">
      <c r="A35" s="9" t="s">
        <v>25</v>
      </c>
      <c r="B35" s="9"/>
      <c r="C35" s="9"/>
      <c r="D35" s="108"/>
      <c r="E35" s="176"/>
      <c r="F35" s="175"/>
      <c r="G35" s="33"/>
      <c r="H35" s="6"/>
      <c r="I35" s="6">
        <f>IF(G35&gt;0,G35,H35-(L35*B$2*1.05)+M35-O35*12.5+P35)</f>
        <v>0.21702800925925914</v>
      </c>
      <c r="J35" s="6"/>
      <c r="K35" s="6"/>
      <c r="L35" s="11">
        <v>0.52550000000000008</v>
      </c>
      <c r="M35" s="21">
        <f t="shared" si="17"/>
        <v>1.0575687500000002</v>
      </c>
      <c r="N35" s="12">
        <v>9.1481481481481469E-2</v>
      </c>
      <c r="O35" s="12">
        <f t="shared" si="18"/>
        <v>0.10520370370370369</v>
      </c>
      <c r="P35" s="21">
        <f t="shared" si="19"/>
        <v>1.5780555555555553</v>
      </c>
      <c r="Q35" s="21">
        <f t="shared" si="11"/>
        <v>-2.4185962962962964</v>
      </c>
      <c r="R35" s="21">
        <f t="shared" si="20"/>
        <v>-0.79813677777777781</v>
      </c>
      <c r="S35" s="21">
        <f t="shared" si="12"/>
        <v>-1.6204595185185187</v>
      </c>
      <c r="T35" s="9"/>
      <c r="U35" s="21">
        <f t="shared" si="13"/>
        <v>0</v>
      </c>
      <c r="V35" s="21">
        <f t="shared" si="21"/>
        <v>0</v>
      </c>
      <c r="W35" s="21">
        <f t="shared" si="22"/>
        <v>0</v>
      </c>
      <c r="X35" s="21">
        <f t="shared" si="14"/>
        <v>0</v>
      </c>
      <c r="Y35" s="21">
        <f t="shared" si="15"/>
        <v>0</v>
      </c>
      <c r="Z35" s="21">
        <f t="shared" si="16"/>
        <v>0</v>
      </c>
    </row>
    <row r="36" spans="1:26" x14ac:dyDescent="0.2">
      <c r="A36" s="65" t="s">
        <v>373</v>
      </c>
      <c r="B36" s="115">
        <v>0.5</v>
      </c>
      <c r="C36" s="115">
        <v>0</v>
      </c>
      <c r="D36" s="132" t="b">
        <f>IF('Machinery(Non-GMO)'!C16='Machinery(Non-GMO)'!B69,IF('Machinery(Non-GMO)'!B32='Machinery(Non-GMO)'!G52,'Machinery(Non-GMO)'!D32,0))</f>
        <v>0</v>
      </c>
      <c r="E36" s="174" t="b">
        <f>IF('Machinery(Non-GMO)'!$C$17='Machinery(Non-GMO)'!$B$72,D36,IF('Machinery(Non-GMO)'!$C$16='Machinery(Non-GMO)'!$B$69,IF('Machinery(Non-GMO)'!B32='Machinery(Non-GMO)'!G52,B36,C36)))</f>
        <v>0</v>
      </c>
      <c r="F36" s="175" t="str">
        <f>IF('Machinery(Non-GMO)'!C17='Machinery(Non-GMO)'!B73,'Machinery(Non-GMO)'!B50,IF('Machinery(Non-GMO)'!C16='Machinery(Non-GMO)'!B69,IF('Machinery(Non-GMO)'!B32='Machinery(Non-GMO)'!G52,'Machinery(Non-GMO)'!E32,'Machinery(Non-GMO)'!B50)))</f>
        <v>N</v>
      </c>
      <c r="G36" s="33"/>
      <c r="H36" s="6">
        <v>12.5</v>
      </c>
      <c r="I36" s="6">
        <f>H36+J36+K36</f>
        <v>12.366</v>
      </c>
      <c r="J36" s="6">
        <f>L36*(B$3-B$2)</f>
        <v>-0.13400000000000001</v>
      </c>
      <c r="K36" s="6">
        <f>(B$4*(1-B$7)+B$6*(B$7) - B$14)*O36</f>
        <v>0</v>
      </c>
      <c r="L36" s="11">
        <v>0.53600000000000003</v>
      </c>
      <c r="M36" s="21">
        <f t="shared" si="17"/>
        <v>1.0787</v>
      </c>
      <c r="N36" s="12">
        <v>9.9000000000000005E-2</v>
      </c>
      <c r="O36" s="12">
        <f t="shared" si="18"/>
        <v>0.11384999999999999</v>
      </c>
      <c r="P36" s="21">
        <f t="shared" si="19"/>
        <v>1.7077499999999999</v>
      </c>
      <c r="Q36" s="21">
        <f t="shared" si="11"/>
        <v>9.5795500000000011</v>
      </c>
      <c r="R36" s="21">
        <f t="shared" si="20"/>
        <v>3.1612515000000005</v>
      </c>
      <c r="S36" s="21">
        <f t="shared" si="12"/>
        <v>6.4182985000000006</v>
      </c>
      <c r="T36" s="9"/>
      <c r="U36" s="21">
        <f>IF(U$15="Increase",IF(F36="y",0,IF($E36&gt;0,M36*$E36*(1+U$16),0)),IF(F36="y",0,IF($E36&gt;0,M36*$E36*(1-U$16),0)))</f>
        <v>0</v>
      </c>
      <c r="V36" s="21">
        <f t="shared" si="21"/>
        <v>0</v>
      </c>
      <c r="W36" s="21">
        <f t="shared" si="22"/>
        <v>0</v>
      </c>
      <c r="X36" s="21">
        <f>IF(X$15="Increase",IF(F36="y",0,IF($E36&gt;0,R36*$E36*(1+X$16),0)),IF(F36="y",0,IF($E36&gt;0,R36*$E36*(1-X$16),0)))</f>
        <v>0</v>
      </c>
      <c r="Y36" s="21">
        <f>IF(Y$15="Increase",IF(F36="y",0,IF($E36&gt;0,S36*$E36*(1+Y$16),0)),IF(F36="y",0,IF($E36&gt;0,S36*$E36*(1-Y$16),0)))</f>
        <v>0</v>
      </c>
      <c r="Z36" s="21">
        <f>IF(Z$15="Increase",IF(F36="y",I36*E36*(1+Z$16),0),IF(F36="y",I36*E36*(1-Z$16),0))</f>
        <v>0</v>
      </c>
    </row>
    <row r="37" spans="1:26" x14ac:dyDescent="0.2">
      <c r="A37" s="9" t="s">
        <v>26</v>
      </c>
      <c r="B37" s="115">
        <v>0.5</v>
      </c>
      <c r="C37" s="115">
        <v>0</v>
      </c>
      <c r="D37" s="132" t="b">
        <f>IF('Machinery(Non-GMO)'!C16='Machinery(Non-GMO)'!B69,IF('Machinery(Non-GMO)'!B32='Machinery(Non-GMO)'!G51,'Machinery(Non-GMO)'!D32,0))</f>
        <v>0</v>
      </c>
      <c r="E37" s="174" t="b">
        <f>IF('Machinery(Non-GMO)'!$C$17='Machinery(Non-GMO)'!$B$72,D37,IF('Machinery(Non-GMO)'!$C$16='Machinery(Non-GMO)'!$B$69,IF('Machinery(Non-GMO)'!B32='Machinery(Non-GMO)'!G51,B37,C37)))</f>
        <v>0</v>
      </c>
      <c r="F37" s="175" t="str">
        <f>IF('Machinery(Non-GMO)'!C17='Machinery(Non-GMO)'!B73,'Machinery(Non-GMO)'!B50,IF('Machinery(Non-GMO)'!C16='Machinery(Non-GMO)'!B69,IF('Machinery(Non-GMO)'!B32='Machinery(Non-GMO)'!G51,'Machinery(Non-GMO)'!E32,'Machinery(Non-GMO)'!B50)))</f>
        <v>N</v>
      </c>
      <c r="G37" s="33"/>
      <c r="H37" s="6">
        <v>18</v>
      </c>
      <c r="I37" s="327">
        <f>H37+J37+K37</f>
        <v>17.81175</v>
      </c>
      <c r="J37" s="6">
        <f>L37*(B$3-B$2)</f>
        <v>-0.18825</v>
      </c>
      <c r="K37" s="6">
        <f>(B$4*(1-B$7)+B$6*(B$7) - B$14)*O37</f>
        <v>0</v>
      </c>
      <c r="L37" s="11">
        <v>0.753</v>
      </c>
      <c r="M37" s="21">
        <f t="shared" si="17"/>
        <v>1.5154124999999998</v>
      </c>
      <c r="N37" s="12">
        <v>0.13851851851851851</v>
      </c>
      <c r="O37" s="12">
        <f t="shared" si="18"/>
        <v>0.15929629629629627</v>
      </c>
      <c r="P37" s="21">
        <f t="shared" si="19"/>
        <v>2.389444444444444</v>
      </c>
      <c r="Q37" s="21">
        <f t="shared" si="11"/>
        <v>13.906893055555557</v>
      </c>
      <c r="R37" s="21">
        <f t="shared" si="20"/>
        <v>4.5892747083333338</v>
      </c>
      <c r="S37" s="21">
        <f t="shared" si="12"/>
        <v>9.317618347222222</v>
      </c>
      <c r="T37" s="9"/>
      <c r="U37" s="21">
        <f t="shared" si="13"/>
        <v>0</v>
      </c>
      <c r="V37" s="21">
        <f t="shared" si="21"/>
        <v>0</v>
      </c>
      <c r="W37" s="21">
        <f t="shared" si="22"/>
        <v>0</v>
      </c>
      <c r="X37" s="21">
        <f t="shared" si="14"/>
        <v>0</v>
      </c>
      <c r="Y37" s="21">
        <f t="shared" si="15"/>
        <v>0</v>
      </c>
      <c r="Z37" s="21">
        <f t="shared" si="16"/>
        <v>0</v>
      </c>
    </row>
    <row r="38" spans="1:26" x14ac:dyDescent="0.2">
      <c r="A38" s="9"/>
      <c r="B38" s="9"/>
      <c r="C38" s="9"/>
      <c r="D38" s="108"/>
      <c r="E38" s="176"/>
      <c r="F38" s="175"/>
      <c r="G38" s="33"/>
      <c r="H38" s="6"/>
      <c r="I38" s="6"/>
      <c r="J38" s="6"/>
      <c r="K38" s="6"/>
      <c r="L38" s="9"/>
      <c r="M38" s="9"/>
      <c r="N38" s="9"/>
      <c r="O38" s="9"/>
      <c r="P38" s="9"/>
      <c r="Q38" s="9"/>
      <c r="R38" s="9"/>
      <c r="S38" s="9"/>
      <c r="T38" s="9"/>
      <c r="U38" s="9"/>
      <c r="V38" s="9"/>
      <c r="W38" s="9"/>
      <c r="X38" s="9"/>
      <c r="Y38" s="9"/>
      <c r="Z38" s="9"/>
    </row>
    <row r="39" spans="1:26" x14ac:dyDescent="0.2">
      <c r="A39" s="10" t="s">
        <v>27</v>
      </c>
      <c r="B39" s="10"/>
      <c r="C39" s="10"/>
      <c r="D39" s="320"/>
      <c r="E39" s="176"/>
      <c r="F39" s="175"/>
      <c r="G39" s="33"/>
      <c r="H39" s="6"/>
      <c r="I39" s="6"/>
      <c r="J39" s="6"/>
      <c r="K39" s="6"/>
      <c r="L39" s="9"/>
      <c r="M39" s="9"/>
      <c r="N39" s="9"/>
      <c r="O39" s="9"/>
      <c r="P39" s="9"/>
      <c r="Q39" s="9"/>
      <c r="R39" s="9"/>
      <c r="S39" s="9"/>
      <c r="T39" s="9"/>
      <c r="U39" s="9"/>
      <c r="V39" s="9"/>
      <c r="W39" s="9"/>
      <c r="X39" s="9"/>
      <c r="Y39" s="9"/>
      <c r="Z39" s="9"/>
    </row>
    <row r="40" spans="1:26" x14ac:dyDescent="0.2">
      <c r="A40" s="9" t="s">
        <v>28</v>
      </c>
      <c r="B40" s="115">
        <v>0</v>
      </c>
      <c r="C40" s="115">
        <v>1</v>
      </c>
      <c r="D40" s="132">
        <f>IF('Machinery(Non-GMO)'!C16='Machinery(Non-GMO)'!B69,0,'Machinery(Non-GMO)'!D22)</f>
        <v>1</v>
      </c>
      <c r="E40" s="174">
        <f>IF('Machinery(Non-GMO)'!$C$17='Machinery(Non-GMO)'!$B$72,D40,IF('Machinery(Non-GMO)'!$C$16='Machinery(Non-GMO)'!$B$69,B40,C40))</f>
        <v>1</v>
      </c>
      <c r="F40" s="175" t="str">
        <f>IF('Machinery(Non-GMO)'!C17='Machinery(Non-GMO)'!B73,'Machinery(Non-GMO)'!B50,'Machinery(Non-GMO)'!E22)</f>
        <v>N</v>
      </c>
      <c r="G40" s="33"/>
      <c r="H40" s="6">
        <v>20.5</v>
      </c>
      <c r="I40" s="327">
        <f>H40+J40+K40</f>
        <v>20.3010625</v>
      </c>
      <c r="J40" s="6">
        <f>L40*(B$3-B$2)</f>
        <v>-0.19893749999999999</v>
      </c>
      <c r="K40" s="6">
        <f>(B$4*(1-B$7)+B$6*(B$7) - B$14)*O40</f>
        <v>0</v>
      </c>
      <c r="L40" s="11">
        <v>0.79574999999999996</v>
      </c>
      <c r="M40" s="21">
        <f>L40*B$3*(1+B$13)</f>
        <v>1.6014468749999997</v>
      </c>
      <c r="N40" s="12">
        <v>0.1025925925925926</v>
      </c>
      <c r="O40" s="12">
        <f t="shared" ref="O40:O44" si="23">N40*(1+B$16)</f>
        <v>0.11798148148148148</v>
      </c>
      <c r="P40" s="21">
        <f t="shared" ref="P40:P44" si="24">O40*B$4*(1-B$7)+O40*B$6*(B$7)</f>
        <v>1.7697222222222222</v>
      </c>
      <c r="Q40" s="21">
        <f t="shared" ref="Q40:Q44" si="25">I40-M40-P40</f>
        <v>16.929893402777779</v>
      </c>
      <c r="R40" s="21">
        <f t="shared" ref="R40:R44" si="26">Q40*B$12</f>
        <v>5.5868648229166675</v>
      </c>
      <c r="S40" s="21">
        <f t="shared" ref="S40:S44" si="27">Q40-R40</f>
        <v>11.343028579861112</v>
      </c>
      <c r="T40" s="9"/>
      <c r="U40" s="21">
        <f t="shared" ref="U40:U44" si="28">IF(U$15="Increase",IF(F40="y",0,IF($E40&gt;0,M40*$E40*(1+U$16),0)),IF(F40="y",0,IF($E40&gt;0,M40*$E40*(1-U$16),0)))</f>
        <v>1.6014468749999997</v>
      </c>
      <c r="V40" s="21">
        <f t="shared" ref="V40:V44" si="29">IF(V$15="Increase",IF(F40="y",0,IF($E40&gt;0,(O40*B$4*(1-B$7))*$E40*(1+V$16),0)),IF(F40="y",0,IF($E40&gt;0,(O40*B$4*(1-B$7))*$E40*(1-V$16),0)))</f>
        <v>1.7697222222222222</v>
      </c>
      <c r="W40" s="21">
        <f t="shared" ref="W40:W44" si="30">IF(W$15="Increase",IF(F40="y",0,IF($E40&gt;0,(O40*B$6*(B$7))*$E40*(1+W$16),0)),IF(F40="y",0,IF($E40&gt;0,(O40*B$6*(B$7))*$E40*(1-W$16),0)))</f>
        <v>0</v>
      </c>
      <c r="X40" s="21">
        <f t="shared" ref="X40:X44" si="31">IF(X$15="Increase",IF(F40="y",0,IF($E40&gt;0,R40*$E40*(1+X$16),0)),IF(F40="y",0,IF($E40&gt;0,R40*$E40*(1-X$16),0)))</f>
        <v>5.5868648229166675</v>
      </c>
      <c r="Y40" s="21">
        <f t="shared" ref="Y40:Y44" si="32">IF(Y$15="Increase",IF(F40="y",0,IF($E40&gt;0,S40*$E40*(1+Y$16),0)),IF(F40="y",0,IF($E40&gt;0,S40*$E40*(1-Y$16),0)))</f>
        <v>11.343028579861112</v>
      </c>
      <c r="Z40" s="21">
        <f t="shared" ref="Z40:Z44" si="33">IF(Z$15="Increase",IF(F40="y",I40*E40*(1+Z$16),0),IF(F40="y",I40*E40*(1-Z$16),0))</f>
        <v>0</v>
      </c>
    </row>
    <row r="41" spans="1:26" x14ac:dyDescent="0.2">
      <c r="A41" s="9" t="s">
        <v>24</v>
      </c>
      <c r="B41" s="9"/>
      <c r="C41" s="9"/>
      <c r="D41" s="108"/>
      <c r="E41" s="176"/>
      <c r="F41" s="175"/>
      <c r="G41" s="33"/>
      <c r="H41" s="6"/>
      <c r="I41" s="6">
        <f>IF(G41&gt;0,G41,H41-(L41*B$2*1.05)+M41-O41*12.5+P41)</f>
        <v>0.2253255787037034</v>
      </c>
      <c r="J41" s="6"/>
      <c r="K41" s="6"/>
      <c r="L41" s="11">
        <v>0.79574999999999996</v>
      </c>
      <c r="M41" s="21">
        <f t="shared" ref="M41:M44" si="34">L41*B$3*(1+B$13)</f>
        <v>1.6014468749999997</v>
      </c>
      <c r="N41" s="12">
        <v>0.1025925925925926</v>
      </c>
      <c r="O41" s="12">
        <f t="shared" si="23"/>
        <v>0.11798148148148148</v>
      </c>
      <c r="P41" s="21">
        <f t="shared" si="24"/>
        <v>1.7697222222222222</v>
      </c>
      <c r="Q41" s="21">
        <f t="shared" si="25"/>
        <v>-3.1458435185185185</v>
      </c>
      <c r="R41" s="21">
        <f t="shared" si="26"/>
        <v>-1.0381283611111112</v>
      </c>
      <c r="S41" s="21">
        <f t="shared" si="27"/>
        <v>-2.1077151574074073</v>
      </c>
      <c r="T41" s="9"/>
      <c r="U41" s="21">
        <f t="shared" si="28"/>
        <v>0</v>
      </c>
      <c r="V41" s="21">
        <f t="shared" si="29"/>
        <v>0</v>
      </c>
      <c r="W41" s="21">
        <f t="shared" si="30"/>
        <v>0</v>
      </c>
      <c r="X41" s="21">
        <f t="shared" si="31"/>
        <v>0</v>
      </c>
      <c r="Y41" s="21">
        <f t="shared" si="32"/>
        <v>0</v>
      </c>
      <c r="Z41" s="21">
        <f t="shared" si="33"/>
        <v>0</v>
      </c>
    </row>
    <row r="42" spans="1:26" x14ac:dyDescent="0.2">
      <c r="A42" s="9" t="s">
        <v>25</v>
      </c>
      <c r="B42" s="9"/>
      <c r="C42" s="9"/>
      <c r="D42" s="108"/>
      <c r="E42" s="176"/>
      <c r="F42" s="175"/>
      <c r="G42" s="33"/>
      <c r="H42" s="6"/>
      <c r="I42" s="6">
        <f>IF(G42&gt;0,G42,H42-(L42*B$2*1.05)+M42-O42*12.5+P42)</f>
        <v>0.2253255787037034</v>
      </c>
      <c r="J42" s="6"/>
      <c r="K42" s="6"/>
      <c r="L42" s="11">
        <v>0.79574999999999996</v>
      </c>
      <c r="M42" s="21">
        <f t="shared" si="34"/>
        <v>1.6014468749999997</v>
      </c>
      <c r="N42" s="12">
        <v>0.1025925925925926</v>
      </c>
      <c r="O42" s="12">
        <f t="shared" si="23"/>
        <v>0.11798148148148148</v>
      </c>
      <c r="P42" s="21">
        <f t="shared" si="24"/>
        <v>1.7697222222222222</v>
      </c>
      <c r="Q42" s="21">
        <f t="shared" si="25"/>
        <v>-3.1458435185185185</v>
      </c>
      <c r="R42" s="21">
        <f t="shared" si="26"/>
        <v>-1.0381283611111112</v>
      </c>
      <c r="S42" s="21">
        <f t="shared" si="27"/>
        <v>-2.1077151574074073</v>
      </c>
      <c r="T42" s="9"/>
      <c r="U42" s="21">
        <f t="shared" si="28"/>
        <v>0</v>
      </c>
      <c r="V42" s="21">
        <f t="shared" si="29"/>
        <v>0</v>
      </c>
      <c r="W42" s="21">
        <f t="shared" si="30"/>
        <v>0</v>
      </c>
      <c r="X42" s="21">
        <f t="shared" si="31"/>
        <v>0</v>
      </c>
      <c r="Y42" s="21">
        <f t="shared" si="32"/>
        <v>0</v>
      </c>
      <c r="Z42" s="21">
        <f t="shared" si="33"/>
        <v>0</v>
      </c>
    </row>
    <row r="43" spans="1:26" x14ac:dyDescent="0.2">
      <c r="A43" s="65" t="s">
        <v>373</v>
      </c>
      <c r="B43" s="115">
        <v>0</v>
      </c>
      <c r="C43" s="115">
        <v>0.5</v>
      </c>
      <c r="D43" s="132">
        <f>IF('Machinery(Non-GMO)'!C16='Machinery(Non-GMO)'!B68,IF('Machinery(Non-GMO)'!B32='Machinery(Non-GMO)'!G52,'Machinery(Non-GMO)'!D32,0))</f>
        <v>0</v>
      </c>
      <c r="E43" s="174">
        <f>IF('Machinery(Non-GMO)'!$C$17='Machinery(Non-GMO)'!$B$72,D43,IF('Machinery(Non-GMO)'!$C$16='Machinery(Non-GMO)'!$B$68,IF('Machinery(Non-GMO)'!B32='Machinery(Non-GMO)'!G52,C43,B43)))</f>
        <v>0</v>
      </c>
      <c r="F43" s="175" t="str">
        <f>IF('Machinery(Non-GMO)'!C17='Machinery(Non-GMO)'!B73,'Machinery(Non-GMO)'!B50,IF('Machinery(Non-GMO)'!C16='Machinery(Non-GMO)'!B68,IF('Machinery(Non-GMO)'!B32='Machinery(Non-GMO)'!G52,'Machinery(Non-GMO)'!E32,'Machinery(Non-GMO)'!B50)))</f>
        <v>N</v>
      </c>
      <c r="G43" s="33"/>
      <c r="H43" s="6">
        <v>12.5</v>
      </c>
      <c r="I43" s="6">
        <f t="shared" ref="I43:I44" si="35">H43+J43+K43</f>
        <v>12.366</v>
      </c>
      <c r="J43" s="6">
        <f t="shared" ref="J43:J44" si="36">L43*(B$3-B$2)</f>
        <v>-0.13400000000000001</v>
      </c>
      <c r="K43" s="6">
        <f t="shared" ref="K43:K44" si="37">(B$4*(1-B$7)+B$6*(B$7) - B$14)*O43</f>
        <v>0</v>
      </c>
      <c r="L43" s="11">
        <v>0.53600000000000003</v>
      </c>
      <c r="M43" s="21">
        <f t="shared" si="34"/>
        <v>1.0787</v>
      </c>
      <c r="N43" s="12">
        <v>9.9000000000000005E-2</v>
      </c>
      <c r="O43" s="12">
        <f t="shared" si="23"/>
        <v>0.11384999999999999</v>
      </c>
      <c r="P43" s="21">
        <f t="shared" si="24"/>
        <v>1.7077499999999999</v>
      </c>
      <c r="Q43" s="21">
        <f t="shared" si="25"/>
        <v>9.5795500000000011</v>
      </c>
      <c r="R43" s="21">
        <f t="shared" si="26"/>
        <v>3.1612515000000005</v>
      </c>
      <c r="S43" s="21">
        <f t="shared" si="27"/>
        <v>6.4182985000000006</v>
      </c>
      <c r="T43" s="9"/>
      <c r="U43" s="21">
        <f t="shared" si="28"/>
        <v>0</v>
      </c>
      <c r="V43" s="21">
        <f t="shared" si="29"/>
        <v>0</v>
      </c>
      <c r="W43" s="21">
        <f t="shared" si="30"/>
        <v>0</v>
      </c>
      <c r="X43" s="21">
        <f t="shared" si="31"/>
        <v>0</v>
      </c>
      <c r="Y43" s="21">
        <f t="shared" si="32"/>
        <v>0</v>
      </c>
      <c r="Z43" s="21">
        <f t="shared" si="33"/>
        <v>0</v>
      </c>
    </row>
    <row r="44" spans="1:26" x14ac:dyDescent="0.2">
      <c r="A44" s="9" t="s">
        <v>26</v>
      </c>
      <c r="B44" s="115">
        <v>0</v>
      </c>
      <c r="C44" s="115">
        <v>0.5</v>
      </c>
      <c r="D44" s="132">
        <f>IF('Machinery(Non-GMO)'!C16='Machinery(Non-GMO)'!B68,IF('Machinery(Non-GMO)'!B32='Machinery(Non-GMO)'!G51,'Machinery(Non-GMO)'!D32,0))</f>
        <v>0</v>
      </c>
      <c r="E44" s="174">
        <f>IF('Machinery(Non-GMO)'!$C$17='Machinery(Non-GMO)'!$B$72,D44,IF('Machinery(Non-GMO)'!$C$16='Machinery(Non-GMO)'!$B$68,IF('Machinery(Non-GMO)'!B32='Machinery(Non-GMO)'!G51,C44,B44)))</f>
        <v>0</v>
      </c>
      <c r="F44" s="175" t="str">
        <f>IF('Machinery(Non-GMO)'!C17='Machinery(Non-GMO)'!B73,'Machinery(Non-GMO)'!B50,IF('Machinery(Non-GMO)'!C16='Machinery(Non-GMO)'!B68,IF('Machinery(Non-GMO)'!B32='Machinery(Non-GMO)'!G51,'Machinery(Non-GMO)'!E32,'Machinery(Non-GMO)'!B50)))</f>
        <v>N</v>
      </c>
      <c r="G44" s="33"/>
      <c r="H44" s="6">
        <v>19</v>
      </c>
      <c r="I44" s="327">
        <f t="shared" si="35"/>
        <v>18.787312499999999</v>
      </c>
      <c r="J44" s="6">
        <f t="shared" si="36"/>
        <v>-0.2126875</v>
      </c>
      <c r="K44" s="6">
        <f t="shared" si="37"/>
        <v>0</v>
      </c>
      <c r="L44" s="11">
        <v>0.85075000000000001</v>
      </c>
      <c r="M44" s="21">
        <f t="shared" si="34"/>
        <v>1.712134375</v>
      </c>
      <c r="N44" s="12">
        <v>0.12481481481481482</v>
      </c>
      <c r="O44" s="12">
        <f t="shared" si="23"/>
        <v>0.14353703703703705</v>
      </c>
      <c r="P44" s="21">
        <f t="shared" si="24"/>
        <v>2.1530555555555555</v>
      </c>
      <c r="Q44" s="21">
        <f t="shared" si="25"/>
        <v>14.922122569444442</v>
      </c>
      <c r="R44" s="21">
        <f t="shared" si="26"/>
        <v>4.9243004479166661</v>
      </c>
      <c r="S44" s="21">
        <f t="shared" si="27"/>
        <v>9.9978221215277756</v>
      </c>
      <c r="T44" s="9"/>
      <c r="U44" s="21">
        <f t="shared" si="28"/>
        <v>0</v>
      </c>
      <c r="V44" s="21">
        <f t="shared" si="29"/>
        <v>0</v>
      </c>
      <c r="W44" s="21">
        <f t="shared" si="30"/>
        <v>0</v>
      </c>
      <c r="X44" s="21">
        <f t="shared" si="31"/>
        <v>0</v>
      </c>
      <c r="Y44" s="21">
        <f t="shared" si="32"/>
        <v>0</v>
      </c>
      <c r="Z44" s="21">
        <f t="shared" si="33"/>
        <v>0</v>
      </c>
    </row>
    <row r="45" spans="1:26" x14ac:dyDescent="0.2">
      <c r="A45" s="9"/>
      <c r="B45" s="9"/>
      <c r="C45" s="9"/>
      <c r="D45" s="108"/>
      <c r="E45" s="176"/>
      <c r="F45" s="175"/>
      <c r="G45" s="33"/>
      <c r="H45" s="6"/>
      <c r="I45" s="6"/>
      <c r="J45" s="6"/>
      <c r="K45" s="6"/>
      <c r="L45" s="9"/>
      <c r="M45" s="9"/>
      <c r="N45" s="9"/>
      <c r="O45" s="9"/>
      <c r="P45" s="9"/>
      <c r="Q45" s="9"/>
      <c r="R45" s="9"/>
      <c r="S45" s="9"/>
      <c r="T45" s="9"/>
      <c r="U45" s="9"/>
      <c r="V45" s="9"/>
      <c r="W45" s="9"/>
      <c r="X45" s="9"/>
      <c r="Y45" s="9"/>
      <c r="Z45" s="9"/>
    </row>
    <row r="46" spans="1:26" x14ac:dyDescent="0.2">
      <c r="A46" s="10" t="s">
        <v>29</v>
      </c>
      <c r="B46" s="10"/>
      <c r="C46" s="10"/>
      <c r="D46" s="320"/>
      <c r="E46" s="176"/>
      <c r="F46" s="175"/>
      <c r="G46" s="33"/>
      <c r="H46" s="6"/>
      <c r="I46" s="6"/>
      <c r="J46" s="6"/>
      <c r="K46" s="6"/>
      <c r="L46" s="9"/>
      <c r="M46" s="9"/>
      <c r="N46" s="9"/>
      <c r="O46" s="9"/>
      <c r="P46" s="9"/>
      <c r="Q46" s="9"/>
      <c r="R46" s="9"/>
      <c r="S46" s="9"/>
      <c r="T46" s="9"/>
      <c r="U46" s="9"/>
      <c r="V46" s="9"/>
      <c r="W46" s="9"/>
      <c r="X46" s="9"/>
      <c r="Y46" s="9"/>
      <c r="Z46" s="9"/>
    </row>
    <row r="47" spans="1:26" x14ac:dyDescent="0.2">
      <c r="A47" s="9" t="s">
        <v>30</v>
      </c>
      <c r="B47" s="115">
        <v>1</v>
      </c>
      <c r="C47" s="115">
        <v>1</v>
      </c>
      <c r="D47" s="132">
        <f>'Machinery(Non-GMO)'!D26</f>
        <v>1</v>
      </c>
      <c r="E47" s="174">
        <f>IF('Machinery(Non-GMO)'!$C$17='Machinery(Non-GMO)'!$B$72,D47,IF('Machinery(Non-GMO)'!$C$16='Machinery(Non-GMO)'!$B$69,B47,C47))</f>
        <v>1</v>
      </c>
      <c r="F47" s="175" t="str">
        <f>IF('Machinery(Non-GMO)'!C17='Machinery(Non-GMO)'!B73,'Machinery(Non-GMO)'!B50,'Machinery(Non-GMO)'!E26)</f>
        <v>N</v>
      </c>
      <c r="G47" s="33"/>
      <c r="H47" s="6">
        <v>32.5</v>
      </c>
      <c r="I47" s="327">
        <f>H47+J47+K47</f>
        <v>31.937562499999999</v>
      </c>
      <c r="J47" s="6">
        <f>L47*(B$3-B$2)</f>
        <v>-0.56243749999999992</v>
      </c>
      <c r="K47" s="6">
        <f>(B$4*(1-B$7)+B$6*(B$7) - B$14)*O47</f>
        <v>0</v>
      </c>
      <c r="L47" s="11">
        <v>2.2497499999999997</v>
      </c>
      <c r="M47" s="21">
        <f t="shared" ref="M47:M50" si="38">L47*B$3*(1+B$13)</f>
        <v>4.5276218749999995</v>
      </c>
      <c r="N47" s="12">
        <v>0.18962962962962962</v>
      </c>
      <c r="O47" s="12">
        <f t="shared" ref="O47:O50" si="39">N47*(1+B$16)</f>
        <v>0.21807407407407406</v>
      </c>
      <c r="P47" s="21">
        <f>O47*B$4*(1-B$7)+O47*B$6*(B$7)</f>
        <v>3.2711111111111109</v>
      </c>
      <c r="Q47" s="21">
        <f t="shared" ref="Q47:Q50" si="40">I47-M47-P47</f>
        <v>24.138829513888886</v>
      </c>
      <c r="R47" s="21">
        <f>Q47*B$12</f>
        <v>7.9658137395833331</v>
      </c>
      <c r="S47" s="21">
        <f t="shared" ref="S47:S50" si="41">Q47-R47</f>
        <v>16.173015774305554</v>
      </c>
      <c r="T47" s="9"/>
      <c r="U47" s="21">
        <f t="shared" ref="U47:U50" si="42">IF(U$15="Increase",IF(F47="y",0,IF($E47&gt;0,M47*$E47*(1+U$16),0)),IF(F47="y",0,IF($E47&gt;0,M47*$E47*(1-U$16),0)))</f>
        <v>4.5276218749999995</v>
      </c>
      <c r="V47" s="21">
        <f>IF(V$15="Increase",IF(F47="y",0,IF($E47&gt;0,(O47*B$4*(1-B$7))*$E47*(1+V$16),0)),IF(F47="y",0,IF($E47&gt;0,(O47*B$4*(1-B$7))*$E47*(1-V$16),0)))</f>
        <v>3.2711111111111109</v>
      </c>
      <c r="W47" s="21">
        <f>IF(W$15="Increase",IF(F47="y",0,IF($E47&gt;0,(O47*B$6*(B$7))*$E47*(1+W$16),0)),IF(F47="y",0,IF($E47&gt;0,(O47*B$6*(B$7))*$E47*(1-W$16),0)))</f>
        <v>0</v>
      </c>
      <c r="X47" s="21">
        <f t="shared" ref="X47:X50" si="43">IF(X$15="Increase",IF(F47="y",0,IF($E47&gt;0,R47*$E47*(1+X$16),0)),IF(F47="y",0,IF($E47&gt;0,R47*$E47*(1-X$16),0)))</f>
        <v>7.9658137395833331</v>
      </c>
      <c r="Y47" s="21">
        <f t="shared" ref="Y47:Y50" si="44">IF(Y$15="Increase",IF(F47="y",0,IF($E47&gt;0,S47*$E47*(1+Y$16),0)),IF(F47="y",0,IF($E47&gt;0,S47*$E47*(1-Y$16),0)))</f>
        <v>16.173015774305554</v>
      </c>
      <c r="Z47" s="21">
        <f t="shared" ref="Z47:Z50" si="45">IF(Z$15="Increase",IF(F47="y",I47*E47*(1+Z$16),0),IF(F47="y",I47*E47*(1-Z$16),0))</f>
        <v>0</v>
      </c>
    </row>
    <row r="48" spans="1:26" x14ac:dyDescent="0.2">
      <c r="A48" s="9" t="s">
        <v>31</v>
      </c>
      <c r="B48" s="9"/>
      <c r="C48" s="9"/>
      <c r="D48" s="108"/>
      <c r="E48" s="29"/>
      <c r="F48" s="30"/>
      <c r="G48" s="33"/>
      <c r="H48" s="6"/>
      <c r="I48" s="6">
        <f>IF(G48&gt;0,G48,H48-(L48*B$2*1.05)+M48-O48*12.5+P48)</f>
        <v>0.28578541666666668</v>
      </c>
      <c r="J48" s="6"/>
      <c r="K48" s="6"/>
      <c r="L48" s="11">
        <v>1.8815</v>
      </c>
      <c r="M48" s="21">
        <f t="shared" si="38"/>
        <v>3.7865187499999999</v>
      </c>
      <c r="N48" s="12">
        <v>0.15666666666666668</v>
      </c>
      <c r="O48" s="12">
        <f t="shared" si="39"/>
        <v>0.18016666666666667</v>
      </c>
      <c r="P48" s="21">
        <f>O48*B$4*(1-B$7)+O48*B$6*(B$7)</f>
        <v>2.7025000000000001</v>
      </c>
      <c r="Q48" s="21">
        <f t="shared" si="40"/>
        <v>-6.2032333333333334</v>
      </c>
      <c r="R48" s="21">
        <f>Q48*B$12</f>
        <v>-2.0470670000000002</v>
      </c>
      <c r="S48" s="21">
        <f t="shared" si="41"/>
        <v>-4.1561663333333332</v>
      </c>
      <c r="T48" s="9"/>
      <c r="U48" s="21">
        <f t="shared" si="42"/>
        <v>0</v>
      </c>
      <c r="V48" s="21">
        <f>IF(V$15="Increase",IF(F48="y",0,IF($E48&gt;0,(O48*B$4*(1-B$7))*$E48*(1+V$16),0)),IF(F48="y",0,IF($E48&gt;0,(O48*B$4*(1-B$7))*$E48*(1-V$16),0)))</f>
        <v>0</v>
      </c>
      <c r="W48" s="21">
        <f>IF(W$15="Increase",IF(F48="y",0,IF($E48&gt;0,(O48*B$6*(B$7))*$E48*(1+W$16),0)),IF(F48="y",0,IF($E48&gt;0,(O48*B$6*(B$7))*$E48*(1-W$16),0)))</f>
        <v>0</v>
      </c>
      <c r="X48" s="21">
        <f t="shared" si="43"/>
        <v>0</v>
      </c>
      <c r="Y48" s="21">
        <f t="shared" si="44"/>
        <v>0</v>
      </c>
      <c r="Z48" s="21">
        <f t="shared" si="45"/>
        <v>0</v>
      </c>
    </row>
    <row r="49" spans="1:28" x14ac:dyDescent="0.2">
      <c r="A49" s="9" t="s">
        <v>32</v>
      </c>
      <c r="B49" s="9"/>
      <c r="C49" s="9"/>
      <c r="D49" s="108"/>
      <c r="E49" s="29"/>
      <c r="F49" s="30"/>
      <c r="G49" s="33"/>
      <c r="H49" s="6"/>
      <c r="I49" s="6">
        <f>IF(G49&gt;0,G49,H49-(L49*B$2*1.05)+M49-O49*12.5+P49)</f>
        <v>0.22673877314814828</v>
      </c>
      <c r="J49" s="6"/>
      <c r="K49" s="6"/>
      <c r="L49" s="11">
        <v>1.4732500000000002</v>
      </c>
      <c r="M49" s="21">
        <f t="shared" si="38"/>
        <v>2.9649156250000002</v>
      </c>
      <c r="N49" s="12">
        <v>0.1237037037037037</v>
      </c>
      <c r="O49" s="12">
        <f t="shared" si="39"/>
        <v>0.14225925925925925</v>
      </c>
      <c r="P49" s="21">
        <f>O49*B$4*(1-B$7)+O49*B$6*(B$7)</f>
        <v>2.1338888888888889</v>
      </c>
      <c r="Q49" s="21">
        <f t="shared" si="40"/>
        <v>-4.8720657407407408</v>
      </c>
      <c r="R49" s="21">
        <f>Q49*B$12</f>
        <v>-1.6077816944444445</v>
      </c>
      <c r="S49" s="21">
        <f t="shared" si="41"/>
        <v>-3.2642840462962965</v>
      </c>
      <c r="T49" s="9"/>
      <c r="U49" s="21">
        <f t="shared" si="42"/>
        <v>0</v>
      </c>
      <c r="V49" s="21">
        <f>IF(V$15="Increase",IF(F49="y",0,IF($E49&gt;0,(O49*B$4*(1-B$7))*$E49*(1+V$16),0)),IF(F49="y",0,IF($E49&gt;0,(O49*B$4*(1-B$7))*$E49*(1-V$16),0)))</f>
        <v>0</v>
      </c>
      <c r="W49" s="21">
        <f>IF(W$15="Increase",IF(F49="y",0,IF($E49&gt;0,(O49*B$6*(B$7))*$E49*(1+W$16),0)),IF(F49="y",0,IF($E49&gt;0,(O49*B$6*(B$7))*$E49*(1-W$16),0)))</f>
        <v>0</v>
      </c>
      <c r="X49" s="21">
        <f t="shared" si="43"/>
        <v>0</v>
      </c>
      <c r="Y49" s="21">
        <f t="shared" si="44"/>
        <v>0</v>
      </c>
      <c r="Z49" s="21">
        <f t="shared" si="45"/>
        <v>0</v>
      </c>
    </row>
    <row r="50" spans="1:28" x14ac:dyDescent="0.2">
      <c r="A50" s="9" t="s">
        <v>47</v>
      </c>
      <c r="B50" s="115">
        <v>1</v>
      </c>
      <c r="C50" s="115">
        <v>1</v>
      </c>
      <c r="D50" s="132">
        <f>'Machinery(Non-GMO)'!D27</f>
        <v>1</v>
      </c>
      <c r="E50" s="78">
        <f>IF('Machinery(Non-GMO)'!$C$17='Machinery(Non-GMO)'!$B$72,D50,IF('Machinery(Non-GMO)'!$C$16='Machinery(Non-GMO)'!$B$69,B50,C50))</f>
        <v>1</v>
      </c>
      <c r="F50" s="30" t="str">
        <f>IF('Machinery(Non-GMO)'!C17='Machinery(Non-GMO)'!B73,'Machinery(Non-GMO)'!B50,'Machinery(Non-GMO)'!E27)</f>
        <v>N</v>
      </c>
      <c r="G50" s="33"/>
      <c r="H50" s="6">
        <v>5.5</v>
      </c>
      <c r="I50" s="327">
        <f>H50+J50+K50</f>
        <v>5.46</v>
      </c>
      <c r="J50" s="6">
        <f>L50*(B$3-B$2)</f>
        <v>-0.04</v>
      </c>
      <c r="K50" s="6">
        <f>(B$4*(1-B$7)+B$6*(B$7) - B$14)*O50</f>
        <v>0</v>
      </c>
      <c r="L50" s="11">
        <v>0.16</v>
      </c>
      <c r="M50" s="21">
        <f t="shared" si="38"/>
        <v>0.32200000000000001</v>
      </c>
      <c r="N50" s="12">
        <v>0.1</v>
      </c>
      <c r="O50" s="12">
        <f t="shared" si="39"/>
        <v>0.11499999999999999</v>
      </c>
      <c r="P50" s="21">
        <f>O50*B$4*(1-B$7)+O50*B$6*(B$7)</f>
        <v>1.7249999999999999</v>
      </c>
      <c r="Q50" s="21">
        <f t="shared" si="40"/>
        <v>3.4130000000000003</v>
      </c>
      <c r="R50" s="21">
        <f>Q50*B$12</f>
        <v>1.1262900000000002</v>
      </c>
      <c r="S50" s="21">
        <f t="shared" si="41"/>
        <v>2.2867100000000002</v>
      </c>
      <c r="T50" s="9"/>
      <c r="U50" s="21">
        <f t="shared" si="42"/>
        <v>0.32200000000000001</v>
      </c>
      <c r="V50" s="21">
        <f>IF(V$15="Increase",IF(F50="y",0,IF($E50&gt;0,(O50*B$4*(1-B$7))*$E50*(1+V$16),0)),IF(F50="y",0,IF($E50&gt;0,(O50*B$4*(1-B$7))*$E50*(1-V$16),0)))</f>
        <v>1.7249999999999999</v>
      </c>
      <c r="W50" s="21">
        <f>IF(W$15="Increase",IF(F50="y",0,IF($E50&gt;0,(O50*B$6*(B$7))*$E50*(1+W$16),0)),IF(F50="y",0,IF($E50&gt;0,(O50*B$6*(B$7))*$E50*(1-W$16),0)))</f>
        <v>0</v>
      </c>
      <c r="X50" s="21">
        <f t="shared" si="43"/>
        <v>1.1262900000000002</v>
      </c>
      <c r="Y50" s="21">
        <f t="shared" si="44"/>
        <v>2.2867100000000002</v>
      </c>
      <c r="Z50" s="21">
        <f t="shared" si="45"/>
        <v>0</v>
      </c>
      <c r="AA50" s="2"/>
    </row>
    <row r="51" spans="1:28" x14ac:dyDescent="0.2">
      <c r="A51" s="694" t="s">
        <v>102</v>
      </c>
      <c r="B51" s="695"/>
      <c r="C51" s="695"/>
      <c r="D51" s="695"/>
      <c r="E51" s="696"/>
      <c r="F51" s="328"/>
      <c r="G51" s="329"/>
      <c r="H51" s="330"/>
      <c r="I51" s="330">
        <f>IF(G51&gt;0,G51,Trucking!H27*'Non-GMO'!E6)</f>
        <v>33.554645280546595</v>
      </c>
      <c r="J51" s="330"/>
      <c r="K51" s="330"/>
      <c r="L51" s="331">
        <f>(('Non-GMO'!E6*Trucking!B27*2)*(1+Trucking!C4))/(Trucking!C3*Trucking!C2)</f>
        <v>2.9842105263157896</v>
      </c>
      <c r="M51" s="332">
        <f>L51*Trucking!C9</f>
        <v>6.1773157894736839</v>
      </c>
      <c r="N51" s="333"/>
      <c r="O51" s="333">
        <f>'Non-GMO'!E6*((((B8*2)/Trucking!C7) + (Trucking!C5/60)))/Trucking!C2</f>
        <v>0.54947368421052634</v>
      </c>
      <c r="P51" s="332">
        <f>O51*B$4*(1-B$7)+O51*B$6*(B$7)</f>
        <v>8.2421052631578959</v>
      </c>
      <c r="Q51" s="332">
        <f>I51-M51-P51</f>
        <v>19.135224227915014</v>
      </c>
      <c r="R51" s="332">
        <f>Q51*B$12</f>
        <v>6.3146239952119547</v>
      </c>
      <c r="S51" s="332">
        <f>Q51-R51</f>
        <v>12.820600232703059</v>
      </c>
      <c r="T51" s="334"/>
      <c r="U51" s="332">
        <f>IF('Non-GMO'!C87='Non-GMO'!C85,0,IF(U$15="Increase",IF(F51="y",0,IF($B8&gt;0,M51*(1+U$16),0)),IF(F51="y",0,IF($B8&gt;0,M51*(1-U$16),0))))</f>
        <v>6.1773157894736839</v>
      </c>
      <c r="V51" s="332">
        <f>IF('Non-GMO'!C87='Non-GMO'!C85,0,IF(V$15="Increase",IF(F51="y",0,IF($B8&gt;0,(O51*B$4*(1-B$7)*(1+V$16)),0)),IF(F51="y",0,IF($B8&gt;0,(O51*B$4*(1-B$7)*(1-V$16)),0))))</f>
        <v>8.2421052631578959</v>
      </c>
      <c r="W51" s="332">
        <f>IF('Non-GMO'!C87='Non-GMO'!C85,0,IF(W$15="Increase",IF(F51="y",0,IF($B8&gt;0,(O51*B$6*(B$7)*(1+W$16)),0)),IF(F51="y",0,IF($B8&gt;0,(O51*B$6*(B$7)*(1-W$16)),0))))</f>
        <v>0</v>
      </c>
      <c r="X51" s="332">
        <f>IF('Non-GMO'!C87='Non-GMO'!C85,0,IF(X$15="Increase",IF(F51="y",0,IF($B8&gt;0,R51*(1+X$16),0)),IF(F51="y",0,IF($B8&gt;0,R51*(1-X$16),0))))</f>
        <v>6.3146239952119547</v>
      </c>
      <c r="Y51" s="332">
        <f>IF('Non-GMO'!C87='Non-GMO'!C85,0,IF(Y$15="Increase",IF(F51="y",0,IF($B8&gt;0,S51*(1+Y$16),0)),IF(F51="y",0,IF($B8&gt;0,S51*(1-Y$16),0))))</f>
        <v>12.820600232703059</v>
      </c>
      <c r="Z51" s="332">
        <f>IF('Non-GMO'!C87='Non-GMO'!C85,0,IF(Z$15="Increase",IF(F51="y",I51*(1+Z$16),0),IF(F51="y",I51*(1-Z$16),0)))</f>
        <v>0</v>
      </c>
      <c r="AA51" s="335">
        <f>SUM(U51:Z51)</f>
        <v>33.554645280546595</v>
      </c>
      <c r="AB51" s="16" t="s">
        <v>286</v>
      </c>
    </row>
    <row r="52" spans="1:28" x14ac:dyDescent="0.2">
      <c r="A52" s="9"/>
      <c r="B52" s="9"/>
      <c r="C52" s="9"/>
      <c r="D52" s="9"/>
      <c r="E52" s="29"/>
      <c r="F52" s="30"/>
      <c r="G52" s="33"/>
      <c r="H52" s="6"/>
      <c r="I52" s="6"/>
      <c r="J52" s="6"/>
      <c r="K52" s="6"/>
      <c r="L52" s="9"/>
      <c r="M52" s="9"/>
      <c r="N52" s="9"/>
      <c r="O52" s="9"/>
      <c r="P52" s="9"/>
      <c r="Q52" s="9"/>
      <c r="R52" s="9"/>
      <c r="S52" s="9"/>
      <c r="T52" s="9"/>
      <c r="U52" s="9"/>
      <c r="V52" s="9"/>
      <c r="W52" s="9"/>
      <c r="X52" s="9"/>
      <c r="Y52" s="9"/>
      <c r="Z52" s="9"/>
      <c r="AA52" s="2">
        <f>AA51/'Non-GMO'!E6</f>
        <v>0.20712744000337405</v>
      </c>
      <c r="AB52" s="16" t="s">
        <v>293</v>
      </c>
    </row>
    <row r="53" spans="1:28" x14ac:dyDescent="0.2">
      <c r="A53" s="10" t="s">
        <v>33</v>
      </c>
      <c r="B53" s="10"/>
      <c r="C53" s="10"/>
      <c r="D53" s="10"/>
      <c r="E53" s="29"/>
      <c r="F53" s="30"/>
      <c r="G53" s="33"/>
      <c r="H53" s="6"/>
      <c r="I53" s="6"/>
      <c r="J53" s="6"/>
      <c r="K53" s="6"/>
      <c r="L53" s="9"/>
      <c r="M53" s="9"/>
      <c r="N53" s="9"/>
      <c r="O53" s="9"/>
      <c r="P53" s="9"/>
      <c r="Q53" s="9"/>
      <c r="R53" s="9"/>
      <c r="S53" s="9"/>
      <c r="T53" s="9"/>
      <c r="U53" s="9"/>
      <c r="V53" s="9"/>
      <c r="W53" s="9"/>
      <c r="X53" s="9"/>
      <c r="Y53" s="9"/>
      <c r="Z53" s="9"/>
    </row>
    <row r="54" spans="1:28" x14ac:dyDescent="0.2">
      <c r="A54" s="9"/>
      <c r="B54" s="9"/>
      <c r="C54" s="9"/>
      <c r="D54" s="108"/>
      <c r="E54" s="29"/>
      <c r="F54" s="30"/>
      <c r="G54" s="33"/>
      <c r="H54" s="6"/>
      <c r="I54" s="6"/>
      <c r="J54" s="6"/>
      <c r="K54" s="6"/>
      <c r="L54" s="9"/>
      <c r="M54" s="9"/>
      <c r="N54" s="9"/>
      <c r="O54" s="9"/>
      <c r="P54" s="9"/>
      <c r="Q54" s="9"/>
      <c r="R54" s="9"/>
      <c r="S54" s="9"/>
      <c r="T54" s="9"/>
      <c r="U54" s="9"/>
      <c r="V54" s="9"/>
      <c r="W54" s="9"/>
      <c r="X54" s="9"/>
      <c r="Y54" s="9"/>
      <c r="Z54" s="9"/>
    </row>
    <row r="55" spans="1:28" x14ac:dyDescent="0.2">
      <c r="A55" s="10" t="s">
        <v>35</v>
      </c>
      <c r="B55" s="10"/>
      <c r="C55" s="10"/>
      <c r="D55" s="317"/>
      <c r="E55" s="29"/>
      <c r="F55" s="30"/>
      <c r="G55" s="33"/>
      <c r="H55" s="6"/>
      <c r="I55" s="6"/>
      <c r="J55" s="6"/>
      <c r="K55" s="6"/>
      <c r="L55" s="9"/>
      <c r="M55" s="9"/>
      <c r="N55" s="9"/>
      <c r="O55" s="9"/>
      <c r="P55" s="9"/>
      <c r="Q55" s="9"/>
      <c r="R55" s="9"/>
      <c r="S55" s="9"/>
      <c r="T55" s="9"/>
      <c r="U55" s="9"/>
      <c r="V55" s="9"/>
      <c r="W55" s="9"/>
      <c r="X55" s="9"/>
      <c r="Y55" s="9"/>
      <c r="Z55" s="9"/>
    </row>
    <row r="56" spans="1:28" x14ac:dyDescent="0.2">
      <c r="A56" s="9" t="s">
        <v>36</v>
      </c>
      <c r="B56" s="115">
        <v>2</v>
      </c>
      <c r="C56" s="115">
        <v>2</v>
      </c>
      <c r="D56" s="132">
        <f>'Machinery(Non-GMO)'!D24</f>
        <v>2</v>
      </c>
      <c r="E56" s="78">
        <f>IF('Machinery(Non-GMO)'!$C$17='Machinery(Non-GMO)'!$B$72,D56,IF('Machinery(Non-GMO)'!$C$16='Machinery(Non-GMO)'!$B$69,B56,C56))</f>
        <v>2</v>
      </c>
      <c r="F56" s="30" t="str">
        <f>IF('Machinery(Non-GMO)'!C17='Machinery(Non-GMO)'!B73,'Machinery(Non-GMO)'!B50,'Machinery(Non-GMO)'!E24)</f>
        <v>N</v>
      </c>
      <c r="G56" s="33"/>
      <c r="H56" s="6">
        <v>6.5</v>
      </c>
      <c r="I56" s="327">
        <f>H56+J56+K56</f>
        <v>6.4187904020919069</v>
      </c>
      <c r="J56" s="6">
        <f>L56*(B$3-B$2)</f>
        <v>-8.1209597908093276E-2</v>
      </c>
      <c r="K56" s="6">
        <f>(B$4*(1-B$7)+B$6*(B$7) - B$14)*O56</f>
        <v>0</v>
      </c>
      <c r="L56" s="11">
        <v>0.3248383916323731</v>
      </c>
      <c r="M56" s="21">
        <f t="shared" ref="M56:M60" si="46">L56*B$3*(1+B$13)</f>
        <v>0.65373726316015091</v>
      </c>
      <c r="N56" s="12">
        <v>3.9135775526950654E-2</v>
      </c>
      <c r="O56" s="12">
        <f t="shared" ref="O56:O60" si="47">N56*(1+B$16)</f>
        <v>4.5006141855993248E-2</v>
      </c>
      <c r="P56" s="21">
        <f t="shared" ref="P56:P60" si="48">O56*B$4*(1-B$7)+O56*B$6*(B$7)</f>
        <v>0.67509212783989869</v>
      </c>
      <c r="Q56" s="21">
        <f t="shared" ref="Q56:Q60" si="49">I56-M56-P56</f>
        <v>5.0899610110918569</v>
      </c>
      <c r="R56" s="21">
        <f t="shared" ref="R56:R60" si="50">Q56*B$12</f>
        <v>1.679687133660313</v>
      </c>
      <c r="S56" s="21">
        <f>Q56-R56</f>
        <v>3.410273877431544</v>
      </c>
      <c r="T56" s="9"/>
      <c r="U56" s="21">
        <f t="shared" ref="U56:U60" si="51">IF(U$15="Increase",IF(F56="y",0,IF($E56&gt;0,M56*$E56*(1+U$16),0)),IF(F56="y",0,IF($E56&gt;0,M56*$E56*(1-U$16),0)))</f>
        <v>1.3074745263203018</v>
      </c>
      <c r="V56" s="21">
        <f t="shared" ref="V56:V60" si="52">IF(V$15="Increase",IF(F56="y",0,IF($E56&gt;0,(O56*B$4*(1-B$7))*$E56*(1+V$16),0)),IF(F56="y",0,IF($E56&gt;0,(O56*B$4*(1-B$7))*$E56*(1-V$16),0)))</f>
        <v>1.3501842556797974</v>
      </c>
      <c r="W56" s="21">
        <f t="shared" ref="W56:W60" si="53">IF(W$15="Increase",IF(F56="y",0,IF($E56&gt;0,(O56*B$6*(B$7))*$E56*(1+W$16),0)),IF(F56="y",0,IF($E56&gt;0,(O56*B$6*(B$7))*$E56*(1-W$16),0)))</f>
        <v>0</v>
      </c>
      <c r="X56" s="21">
        <f t="shared" ref="X56:X60" si="54">IF(X$15="Increase",IF(F56="y",0,IF($E56&gt;0,R56*$E56*(1+X$16),0)),IF(F56="y",0,IF($E56&gt;0,R56*$E56*(1-X$16),0)))</f>
        <v>3.3593742673206259</v>
      </c>
      <c r="Y56" s="21">
        <f t="shared" ref="Y56:Y60" si="55">IF(Y$15="Increase",IF(F56="y",0,IF($E56&gt;0,S56*$E56*(1+Y$16),0)),IF(F56="y",0,IF($E56&gt;0,S56*$E56*(1-Y$16),0)))</f>
        <v>6.820547754863088</v>
      </c>
      <c r="Z56" s="21">
        <f t="shared" ref="Z56:Z60" si="56">IF(Z$15="Increase",IF(F56="y",I56*E56*(1+Z$16),0),IF(F56="y",I56*E56*(1-Z$16),0))</f>
        <v>0</v>
      </c>
    </row>
    <row r="57" spans="1:28" x14ac:dyDescent="0.2">
      <c r="A57" s="9" t="s">
        <v>37</v>
      </c>
      <c r="B57" s="9"/>
      <c r="C57" s="9"/>
      <c r="D57" s="108"/>
      <c r="E57" s="29"/>
      <c r="F57" s="30"/>
      <c r="G57" s="33"/>
      <c r="H57" s="6"/>
      <c r="I57" s="6">
        <f>IF(G57&gt;0,G57,H57-(L57*B$2*1.05)+M57-O57*12.5+P57)</f>
        <v>0.10734276632157558</v>
      </c>
      <c r="J57" s="6"/>
      <c r="K57" s="6"/>
      <c r="L57" s="11">
        <v>0.41465363511659803</v>
      </c>
      <c r="M57" s="21">
        <f t="shared" si="46"/>
        <v>0.8344904406721535</v>
      </c>
      <c r="N57" s="12">
        <v>4.9956507615401075E-2</v>
      </c>
      <c r="O57" s="12">
        <f t="shared" si="47"/>
        <v>5.744998375771123E-2</v>
      </c>
      <c r="P57" s="21">
        <f t="shared" si="48"/>
        <v>0.86174975636566842</v>
      </c>
      <c r="Q57" s="21">
        <f t="shared" si="49"/>
        <v>-1.5888974307162465</v>
      </c>
      <c r="R57" s="21">
        <f t="shared" si="50"/>
        <v>-0.52433615213636131</v>
      </c>
      <c r="S57" s="21">
        <f t="shared" ref="S57:S60" si="57">Q57-R57</f>
        <v>-1.0645612785798853</v>
      </c>
      <c r="T57" s="9"/>
      <c r="U57" s="21">
        <f t="shared" si="51"/>
        <v>0</v>
      </c>
      <c r="V57" s="21">
        <f t="shared" si="52"/>
        <v>0</v>
      </c>
      <c r="W57" s="21">
        <f t="shared" si="53"/>
        <v>0</v>
      </c>
      <c r="X57" s="21">
        <f t="shared" si="54"/>
        <v>0</v>
      </c>
      <c r="Y57" s="21">
        <f t="shared" si="55"/>
        <v>0</v>
      </c>
      <c r="Z57" s="21">
        <f t="shared" si="56"/>
        <v>0</v>
      </c>
    </row>
    <row r="58" spans="1:28" x14ac:dyDescent="0.2">
      <c r="A58" s="9" t="s">
        <v>38</v>
      </c>
      <c r="B58" s="9"/>
      <c r="C58" s="9"/>
      <c r="D58" s="108"/>
      <c r="E58" s="29"/>
      <c r="F58" s="30"/>
      <c r="G58" s="33"/>
      <c r="H58" s="6"/>
      <c r="I58" s="6">
        <f>IF(G58&gt;0,G58,H58-(L58*B$2*1.05)+M58-O58*12.5+P58)</f>
        <v>0.10267212687094218</v>
      </c>
      <c r="J58" s="6"/>
      <c r="K58" s="6"/>
      <c r="L58" s="11">
        <v>0.39661145404663922</v>
      </c>
      <c r="M58" s="21">
        <f t="shared" si="46"/>
        <v>0.79818055126886134</v>
      </c>
      <c r="N58" s="12">
        <v>4.778282751305156E-2</v>
      </c>
      <c r="O58" s="12">
        <f t="shared" si="47"/>
        <v>5.4950251640009287E-2</v>
      </c>
      <c r="P58" s="21">
        <f t="shared" si="48"/>
        <v>0.82425377460013927</v>
      </c>
      <c r="Q58" s="21">
        <f t="shared" si="49"/>
        <v>-1.5197621989980585</v>
      </c>
      <c r="R58" s="21">
        <f t="shared" si="50"/>
        <v>-0.50152152566935937</v>
      </c>
      <c r="S58" s="21">
        <f t="shared" si="57"/>
        <v>-1.0182406733286991</v>
      </c>
      <c r="T58" s="9"/>
      <c r="U58" s="21">
        <f t="shared" si="51"/>
        <v>0</v>
      </c>
      <c r="V58" s="21">
        <f t="shared" si="52"/>
        <v>0</v>
      </c>
      <c r="W58" s="21">
        <f t="shared" si="53"/>
        <v>0</v>
      </c>
      <c r="X58" s="21">
        <f t="shared" si="54"/>
        <v>0</v>
      </c>
      <c r="Y58" s="21">
        <f t="shared" si="55"/>
        <v>0</v>
      </c>
      <c r="Z58" s="21">
        <f t="shared" si="56"/>
        <v>0</v>
      </c>
    </row>
    <row r="59" spans="1:28" x14ac:dyDescent="0.2">
      <c r="A59" s="9" t="s">
        <v>39</v>
      </c>
      <c r="B59" s="115">
        <v>0</v>
      </c>
      <c r="C59" s="115">
        <v>0</v>
      </c>
      <c r="D59" s="132">
        <f>'Machinery(Non-GMO)'!D25</f>
        <v>0</v>
      </c>
      <c r="E59" s="78">
        <f>IF('Machinery(Non-GMO)'!$C$17='Machinery(Non-GMO)'!$B$72,D59,IF('Machinery(Non-GMO)'!$C$16='Machinery(Non-GMO)'!$B$69,B59,C59))</f>
        <v>0</v>
      </c>
      <c r="F59" s="30" t="str">
        <f>IF('Machinery(Non-GMO)'!C17='Machinery(Non-GMO)'!B73,'Machinery(Non-GMO)'!B50,'Machinery(Non-GMO)'!E25)</f>
        <v>N</v>
      </c>
      <c r="G59" s="33"/>
      <c r="H59" s="6">
        <v>13.5</v>
      </c>
      <c r="I59" s="327">
        <f>H59+J59+K59</f>
        <v>13.3269375</v>
      </c>
      <c r="J59" s="6">
        <f>L59*(B$3-B$2)</f>
        <v>-0.17306250000000001</v>
      </c>
      <c r="K59" s="6">
        <f>(B$4*(1-B$7)+B$6*(B$7) - B$14)*O59</f>
        <v>0</v>
      </c>
      <c r="L59" s="11">
        <v>0.69225000000000003</v>
      </c>
      <c r="M59" s="21">
        <f t="shared" si="46"/>
        <v>1.393153125</v>
      </c>
      <c r="N59" s="12">
        <v>8.3400673400673392E-2</v>
      </c>
      <c r="O59" s="12">
        <f t="shared" si="47"/>
        <v>9.5910774410774391E-2</v>
      </c>
      <c r="P59" s="21">
        <f t="shared" si="48"/>
        <v>1.4386616161616159</v>
      </c>
      <c r="Q59" s="21">
        <f t="shared" si="49"/>
        <v>10.495122758838384</v>
      </c>
      <c r="R59" s="21">
        <f t="shared" si="50"/>
        <v>3.4633905104166671</v>
      </c>
      <c r="S59" s="21">
        <f t="shared" si="57"/>
        <v>7.0317322484217168</v>
      </c>
      <c r="T59" s="9"/>
      <c r="U59" s="21">
        <f t="shared" si="51"/>
        <v>0</v>
      </c>
      <c r="V59" s="21">
        <f t="shared" si="52"/>
        <v>0</v>
      </c>
      <c r="W59" s="21">
        <f t="shared" si="53"/>
        <v>0</v>
      </c>
      <c r="X59" s="21">
        <f t="shared" si="54"/>
        <v>0</v>
      </c>
      <c r="Y59" s="21">
        <f t="shared" si="55"/>
        <v>0</v>
      </c>
      <c r="Z59" s="21">
        <f t="shared" si="56"/>
        <v>0</v>
      </c>
    </row>
    <row r="60" spans="1:28" x14ac:dyDescent="0.2">
      <c r="A60" s="9" t="s">
        <v>40</v>
      </c>
      <c r="B60" s="9"/>
      <c r="C60" s="9"/>
      <c r="D60" s="108"/>
      <c r="E60" s="29"/>
      <c r="F60" s="30"/>
      <c r="G60" s="33"/>
      <c r="H60" s="6"/>
      <c r="I60" s="6">
        <f>IF(G60&gt;0,G60,H60-(L60*B$2*1.05)+M60-O60*12.5+P60)</f>
        <v>0.28781791351491126</v>
      </c>
      <c r="J60" s="6"/>
      <c r="K60" s="6"/>
      <c r="L60" s="11">
        <v>1.1118098422496572</v>
      </c>
      <c r="M60" s="21">
        <f t="shared" si="46"/>
        <v>2.2375173075274346</v>
      </c>
      <c r="N60" s="12">
        <v>0.13394826946495897</v>
      </c>
      <c r="O60" s="12">
        <f t="shared" si="47"/>
        <v>0.1540405098847028</v>
      </c>
      <c r="P60" s="21">
        <f t="shared" si="48"/>
        <v>2.3106076482705422</v>
      </c>
      <c r="Q60" s="21">
        <f t="shared" si="49"/>
        <v>-4.2603070422830651</v>
      </c>
      <c r="R60" s="21">
        <f t="shared" si="50"/>
        <v>-1.4059013239534115</v>
      </c>
      <c r="S60" s="21">
        <f t="shared" si="57"/>
        <v>-2.8544057183296534</v>
      </c>
      <c r="T60" s="9"/>
      <c r="U60" s="21">
        <f t="shared" si="51"/>
        <v>0</v>
      </c>
      <c r="V60" s="21">
        <f t="shared" si="52"/>
        <v>0</v>
      </c>
      <c r="W60" s="21">
        <f t="shared" si="53"/>
        <v>0</v>
      </c>
      <c r="X60" s="21">
        <f t="shared" si="54"/>
        <v>0</v>
      </c>
      <c r="Y60" s="21">
        <f t="shared" si="55"/>
        <v>0</v>
      </c>
      <c r="Z60" s="21">
        <f t="shared" si="56"/>
        <v>0</v>
      </c>
    </row>
    <row r="61" spans="1:28" x14ac:dyDescent="0.2">
      <c r="A61" s="9"/>
      <c r="B61" s="9"/>
      <c r="C61" s="9"/>
      <c r="D61" s="108"/>
      <c r="E61" s="29"/>
      <c r="F61" s="30"/>
      <c r="G61" s="33"/>
      <c r="H61" s="6"/>
      <c r="I61" s="6"/>
      <c r="J61" s="6"/>
      <c r="K61" s="6"/>
      <c r="L61" s="9"/>
      <c r="M61" s="9"/>
      <c r="N61" s="9"/>
      <c r="O61" s="9"/>
      <c r="P61" s="9"/>
      <c r="Q61" s="9"/>
      <c r="R61" s="9"/>
      <c r="S61" s="9"/>
      <c r="T61" s="9"/>
      <c r="U61" s="9"/>
      <c r="V61" s="9"/>
      <c r="W61" s="9"/>
      <c r="X61" s="9"/>
      <c r="Y61" s="9"/>
      <c r="Z61" s="9"/>
    </row>
    <row r="62" spans="1:28" x14ac:dyDescent="0.2">
      <c r="A62" s="10" t="s">
        <v>41</v>
      </c>
      <c r="B62" s="10"/>
      <c r="C62" s="10"/>
      <c r="D62" s="320"/>
      <c r="E62" s="29"/>
      <c r="F62" s="30"/>
      <c r="G62" s="33"/>
      <c r="H62" s="6"/>
      <c r="I62" s="6"/>
      <c r="J62" s="6"/>
      <c r="K62" s="6"/>
      <c r="L62" s="9"/>
      <c r="M62" s="9"/>
      <c r="N62" s="9"/>
      <c r="O62" s="9"/>
      <c r="P62" s="9"/>
      <c r="Q62" s="9"/>
      <c r="R62" s="9"/>
      <c r="S62" s="9"/>
      <c r="T62" s="9"/>
      <c r="U62" s="9"/>
      <c r="V62" s="9"/>
      <c r="W62" s="9"/>
      <c r="X62" s="9"/>
      <c r="Y62" s="9"/>
      <c r="Z62" s="9"/>
    </row>
    <row r="63" spans="1:28" x14ac:dyDescent="0.2">
      <c r="A63" s="9" t="s">
        <v>42</v>
      </c>
      <c r="B63" s="115">
        <v>2.5</v>
      </c>
      <c r="C63" s="115">
        <v>2.5</v>
      </c>
      <c r="D63" s="132">
        <f>'Machinery(Non-GMO)'!D23</f>
        <v>2.5</v>
      </c>
      <c r="E63" s="78">
        <f>IF('Machinery(Non-GMO)'!$C$17='Machinery(Non-GMO)'!$B$72,D63,IF('Machinery(Non-GMO)'!$C$16='Machinery(Non-GMO)'!$B$69,B63,C63))</f>
        <v>2.5</v>
      </c>
      <c r="F63" s="30" t="str">
        <f>IF('Machinery(Non-GMO)'!C17='Machinery(Non-GMO)'!B73,'Machinery(Non-GMO)'!B50,'Machinery(Non-GMO)'!E23)</f>
        <v>N</v>
      </c>
      <c r="G63" s="33"/>
      <c r="H63" s="6">
        <v>7.5</v>
      </c>
      <c r="I63" s="327">
        <f>H63+J63+K63</f>
        <v>7.4704375000000001</v>
      </c>
      <c r="J63" s="6">
        <f>L63*(B$3-B$2)</f>
        <v>-2.9562500000000002E-2</v>
      </c>
      <c r="K63" s="6">
        <f>(B$4*(1-B$7)+B$6*(B$7) - B$14)*O63</f>
        <v>0</v>
      </c>
      <c r="L63" s="11">
        <v>0.11825000000000001</v>
      </c>
      <c r="M63" s="21">
        <f t="shared" ref="M63:M64" si="58">L63*B$3*(1+B$13)</f>
        <v>0.23797812500000001</v>
      </c>
      <c r="N63" s="12">
        <v>0.03</v>
      </c>
      <c r="O63" s="12">
        <f t="shared" ref="O63:O64" si="59">N63*(1+B$16)</f>
        <v>3.4499999999999996E-2</v>
      </c>
      <c r="P63" s="21">
        <f>O63*B$4*(1-B$7)+O63*B$6*(B$7)</f>
        <v>0.51749999999999996</v>
      </c>
      <c r="Q63" s="21">
        <f>I63-M63-P63</f>
        <v>6.7149593750000003</v>
      </c>
      <c r="R63" s="21">
        <f>Q63*B$12</f>
        <v>2.2159365937500004</v>
      </c>
      <c r="S63" s="21">
        <f>Q63-R63</f>
        <v>4.4990227812499999</v>
      </c>
      <c r="T63" s="9"/>
      <c r="U63" s="21">
        <f>IF(U$15="Increase",IF(F63="y",0,IF($E63&gt;0,M63*$E63*(1+U$16),0)),IF(F63="y",0,IF($E63&gt;0,M63*$E63*(1-U$16),0)))</f>
        <v>0.59494531250000005</v>
      </c>
      <c r="V63" s="21">
        <f>IF(V$15="Increase",IF(F63="y",0,IF($E63&gt;0,(O63*B$4*(1-B$7))*$E63*(1+V$16),0)),IF(F63="y",0,IF($E63&gt;0,(O63*B$4*(1-B$7))*$E63*(1-V$16),0)))</f>
        <v>1.29375</v>
      </c>
      <c r="W63" s="21">
        <f>IF(W$15="Increase",IF(F63="y",0,IF($E63&gt;0,(O63*B$6*(B$7))*$E63*(1+W$16),0)),IF(F63="y",0,IF($E63&gt;0,(O63*B$6*(B$7))*$E63*(1-W$16),0)))</f>
        <v>0</v>
      </c>
      <c r="X63" s="21">
        <f>IF(X$15="Increase",IF(F63="y",0,IF($E63&gt;0,R63*$E63*(1+X$16),0)),IF(F63="y",0,IF($E63&gt;0,R63*$E63*(1-X$16),0)))</f>
        <v>5.5398414843750015</v>
      </c>
      <c r="Y63" s="21">
        <f>IF(Y$15="Increase",IF(F63="y",0,IF($E63&gt;0,S63*$E63*(1+Y$16),0)),IF(F63="y",0,IF($E63&gt;0,S63*$E63*(1-Y$16),0)))</f>
        <v>11.247556953124999</v>
      </c>
      <c r="Z63" s="21">
        <f>IF(Z$15="Increase",IF(F63="y",I63*E63*(1+Z$16),0),IF(F63="y",I63*E63*(1-Z$16),0))</f>
        <v>0</v>
      </c>
    </row>
    <row r="64" spans="1:28" x14ac:dyDescent="0.2">
      <c r="A64" s="9" t="s">
        <v>43</v>
      </c>
      <c r="B64" s="9"/>
      <c r="C64" s="9"/>
      <c r="D64" s="9"/>
      <c r="E64" s="29"/>
      <c r="F64" s="30"/>
      <c r="G64" s="33"/>
      <c r="H64" s="6"/>
      <c r="I64" s="6">
        <f>IF(G64&gt;0,G64,H64-(L64*B$2*1.05)+M64-O64*12.5+P64)</f>
        <v>3.2967592592592604E-2</v>
      </c>
      <c r="J64" s="6"/>
      <c r="K64" s="6"/>
      <c r="L64" s="11">
        <v>0.11</v>
      </c>
      <c r="M64" s="21">
        <f t="shared" si="58"/>
        <v>0.22137499999999999</v>
      </c>
      <c r="N64" s="12">
        <v>1.4814814814814815E-2</v>
      </c>
      <c r="O64" s="12">
        <f t="shared" si="59"/>
        <v>1.7037037037037038E-2</v>
      </c>
      <c r="P64" s="21">
        <f>O64*B$4*(1-B$7)+O64*B$6*(B$7)</f>
        <v>0.25555555555555559</v>
      </c>
      <c r="Q64" s="21">
        <f>I64-M64-P64</f>
        <v>-0.443962962962963</v>
      </c>
      <c r="R64" s="21">
        <f>Q64*B$12</f>
        <v>-0.14650777777777779</v>
      </c>
      <c r="S64" s="21">
        <f>Q64-R64</f>
        <v>-0.29745518518518521</v>
      </c>
      <c r="T64" s="9"/>
      <c r="U64" s="21">
        <f>IF(U$15="Increase",IF(F64="y",0,IF($E64&gt;0,M64*$E64*(1+U$16),0)),IF(F64="y",0,IF($E64&gt;0,M64*$E64*(1-U$16),0)))</f>
        <v>0</v>
      </c>
      <c r="V64" s="21">
        <f>IF(V$15="Increase",IF(F64="y",0,IF($E64&gt;0,(O64*B$4*(1-B$7))*$E64*(1+V$16),0)),IF(F64="y",0,IF($E64&gt;0,(O64*B$4*(1-B$7))*$E64*(1-V$16),0)))</f>
        <v>0</v>
      </c>
      <c r="W64" s="21">
        <f>IF(W$15="Increase",IF(F64="y",0,IF($E64&gt;0,(O64*B$6*(B$7))*$E64*(1+W$16),0)),IF(F64="y",0,IF($E64&gt;0,(O64*B$6*(B$7))*$E64*(1-W$16),0)))</f>
        <v>0</v>
      </c>
      <c r="X64" s="21">
        <f>IF(X$15="Increase",IF(F64="y",0,IF($E64&gt;0,R64*$E64*(1+X$16),0)),IF(F64="y",0,IF($E64&gt;0,R64*$E64*(1-X$16),0)))</f>
        <v>0</v>
      </c>
      <c r="Y64" s="21">
        <f>IF(Y$15="Increase",IF(F64="y",0,IF($E64&gt;0,S64*$E64*(1+Y$16),0)),IF(F64="y",0,IF($E64&gt;0,S64*$E64*(1-Y$16),0)))</f>
        <v>0</v>
      </c>
      <c r="Z64" s="21">
        <f>IF(Z$15="Increase",IF(F64="y",I64*E64*(1+Z$16),0),IF(F64="y",I64*E64*(1-Z$16),0))</f>
        <v>0</v>
      </c>
    </row>
    <row r="65" spans="1:28" x14ac:dyDescent="0.2">
      <c r="A65" s="9"/>
      <c r="B65" s="9"/>
      <c r="C65" s="9"/>
      <c r="D65" s="9"/>
      <c r="E65" s="29"/>
      <c r="F65" s="30"/>
      <c r="G65" s="33"/>
      <c r="H65" s="6"/>
      <c r="I65" s="6"/>
      <c r="J65" s="6"/>
      <c r="K65" s="6"/>
      <c r="L65" s="9"/>
      <c r="M65" s="9"/>
      <c r="N65" s="9"/>
      <c r="O65" s="9"/>
      <c r="P65" s="9"/>
      <c r="Q65" s="9"/>
      <c r="R65" s="9"/>
      <c r="S65" s="9"/>
      <c r="T65" s="9"/>
      <c r="U65" s="9"/>
      <c r="V65" s="9"/>
      <c r="W65" s="9"/>
      <c r="X65" s="9"/>
      <c r="Y65" s="9"/>
      <c r="Z65" s="9"/>
    </row>
    <row r="66" spans="1:28" x14ac:dyDescent="0.2">
      <c r="A66" s="10" t="s">
        <v>44</v>
      </c>
      <c r="B66" s="10"/>
      <c r="C66" s="10"/>
      <c r="D66" s="10"/>
      <c r="E66" s="29"/>
      <c r="F66" s="30"/>
      <c r="G66" s="33"/>
      <c r="H66" s="6"/>
      <c r="I66" s="6"/>
      <c r="J66" s="6"/>
      <c r="K66" s="6"/>
      <c r="L66" s="9"/>
      <c r="M66" s="9"/>
      <c r="N66" s="9"/>
      <c r="O66" s="9"/>
      <c r="P66" s="9"/>
      <c r="Q66" s="9"/>
      <c r="R66" s="9"/>
      <c r="S66" s="9"/>
      <c r="T66" s="9"/>
      <c r="U66" s="9"/>
      <c r="V66" s="9"/>
      <c r="W66" s="9"/>
      <c r="X66" s="9"/>
      <c r="Y66" s="9"/>
      <c r="Z66" s="9"/>
    </row>
    <row r="67" spans="1:28" x14ac:dyDescent="0.2">
      <c r="A67" s="9" t="s">
        <v>45</v>
      </c>
      <c r="B67" s="9"/>
      <c r="C67" s="9"/>
      <c r="D67" s="9"/>
      <c r="E67" s="29"/>
      <c r="F67" s="30"/>
      <c r="G67" s="33"/>
      <c r="H67" s="6"/>
      <c r="I67" s="6">
        <f>IF(G67&gt;0,G67,H67-(L67*B$2*1.05)+M67-O67*12.5+P67)</f>
        <v>8.7246990740740715E-2</v>
      </c>
      <c r="J67" s="6"/>
      <c r="K67" s="6"/>
      <c r="L67" s="11">
        <v>0.26850000000000002</v>
      </c>
      <c r="M67" s="21">
        <f t="shared" ref="M67:M68" si="60">L67*B$3*(1+B$13)</f>
        <v>0.54035624999999998</v>
      </c>
      <c r="N67" s="12">
        <v>3.8518518518518521E-2</v>
      </c>
      <c r="O67" s="12">
        <f t="shared" ref="O67:O68" si="61">N67*(1+B$16)</f>
        <v>4.4296296296296299E-2</v>
      </c>
      <c r="P67" s="21">
        <f>O67*B$4*(1-B$7)+O67*B$6*(B$7)</f>
        <v>0.6644444444444445</v>
      </c>
      <c r="Q67" s="21">
        <f>I67-M67-P67</f>
        <v>-1.1175537037037038</v>
      </c>
      <c r="R67" s="21">
        <f>Q67*B$12</f>
        <v>-0.36879272222222226</v>
      </c>
      <c r="S67" s="21">
        <f>Q67-R67</f>
        <v>-0.74876098148148151</v>
      </c>
      <c r="T67" s="9"/>
      <c r="U67" s="21">
        <f>IF(U$15="Increase",IF(F67="y",0,IF($E67&gt;0,M67*$E67*(1+U$16),0)),IF(F67="y",0,IF($E67&gt;0,M67*$E67*(1-U$16),0)))</f>
        <v>0</v>
      </c>
      <c r="V67" s="21">
        <f>IF(V$15="Increase",IF(F67="y",0,IF($E67&gt;0,(O67*B$4*(1-B$7))*$E67*(1+V$16),0)),IF(F67="y",0,IF($E67&gt;0,(O67*B$4*(1-B$7))*$E67*(1-V$16),0)))</f>
        <v>0</v>
      </c>
      <c r="W67" s="21">
        <f>IF(W$15="Increase",IF(F67="y",0,IF($E67&gt;0,(O67*B$6*(B$7))*$E67*(1+W$16),0)),IF(F67="y",0,IF($E67&gt;0,(O67*B$6*(B$7))*$E67*(1-W$16),0)))</f>
        <v>0</v>
      </c>
      <c r="X67" s="21">
        <f>IF(X$15="Increase",IF(F67="y",0,IF($E67&gt;0,R67*$E67*(1+X$16),0)),IF(F67="y",0,IF($E67&gt;0,R67*$E67*(1-X$16),0)))</f>
        <v>0</v>
      </c>
      <c r="Y67" s="21">
        <f>IF(Y$15="Increase",IF(F67="y",0,IF($E67&gt;0,S67*$E67*(1+Y$16),0)),IF(F67="y",0,IF($E67&gt;0,S67*$E67*(1-Y$16),0)))</f>
        <v>0</v>
      </c>
      <c r="Z67" s="21">
        <f>IF(Z$15="Increase",IF(F67="y",I67*E67*(1+Z$16),0),IF(F67="y",I67*E67*(1-Z$16),0))</f>
        <v>0</v>
      </c>
    </row>
    <row r="68" spans="1:28" x14ac:dyDescent="0.2">
      <c r="A68" s="9" t="s">
        <v>46</v>
      </c>
      <c r="B68" s="9"/>
      <c r="C68" s="9"/>
      <c r="D68" s="9"/>
      <c r="E68" s="29"/>
      <c r="F68" s="30"/>
      <c r="G68" s="33"/>
      <c r="H68" s="6"/>
      <c r="I68" s="6">
        <f>IF(G68&gt;0,G68,H68-(L68*B$2*1.05)+M68-O68*12.5+P68)</f>
        <v>0.19769099326599315</v>
      </c>
      <c r="J68" s="6"/>
      <c r="K68" s="6"/>
      <c r="L68" s="11">
        <v>0.52800000000000002</v>
      </c>
      <c r="M68" s="21">
        <f t="shared" si="60"/>
        <v>1.0626</v>
      </c>
      <c r="N68" s="12">
        <v>8.4831649831649841E-2</v>
      </c>
      <c r="O68" s="12">
        <f t="shared" si="61"/>
        <v>9.7556397306397313E-2</v>
      </c>
      <c r="P68" s="21">
        <f>O68*B$4*(1-B$7)+O68*B$6*(B$7)</f>
        <v>1.4633459595959597</v>
      </c>
      <c r="Q68" s="21">
        <f>I68-M68-P68</f>
        <v>-2.3282549663299665</v>
      </c>
      <c r="R68" s="21">
        <f>Q68*B$12</f>
        <v>-0.76832413888888895</v>
      </c>
      <c r="S68" s="21">
        <f>Q68-R68</f>
        <v>-1.5599308274410775</v>
      </c>
      <c r="T68" s="9"/>
      <c r="U68" s="21">
        <f>IF(U$15="Increase",IF(F68="y",0,IF($E68&gt;0,M68*$E68*(1+U$16),0)),IF(F68="y",0,IF($E68&gt;0,M68*$E68*(1-U$16),0)))</f>
        <v>0</v>
      </c>
      <c r="V68" s="21">
        <f>IF(V$15="Increase",IF(F68="y",0,IF($E68&gt;0,(O68*B$4*(1-B$7))*$E68*(1+V$16),0)),IF(F68="y",0,IF($E68&gt;0,(O68*B$4*(1-B$7))*$E68*(1-V$16),0)))</f>
        <v>0</v>
      </c>
      <c r="W68" s="21">
        <f>IF(W$15="Increase",IF(F68="y",0,IF($E68&gt;0,(O68*B$6*(B$7))*$E68*(1+W$16),0)),IF(F68="y",0,IF($E68&gt;0,(O68*B$6*(B$7))*$E68*(1-W$16),0)))</f>
        <v>0</v>
      </c>
      <c r="X68" s="21">
        <f>IF(X$15="Increase",IF(F68="y",0,IF($E68&gt;0,R68*$E68*(1+X$16),0)),IF(F68="y",0,IF($E68&gt;0,R68*$E68*(1-X$16),0)))</f>
        <v>0</v>
      </c>
      <c r="Y68" s="21">
        <f>IF(Y$15="Increase",IF(F68="y",0,IF($E68&gt;0,S68*$E68*(1+Y$16),0)),IF(F68="y",0,IF($E68&gt;0,S68*$E68*(1-Y$16),0)))</f>
        <v>0</v>
      </c>
      <c r="Z68" s="21">
        <f>IF(Z$15="Increase",IF(F68="y",I68*E68*(1+Z$16),0),IF(F68="y",I68*E68*(1-Z$16),0))</f>
        <v>0</v>
      </c>
    </row>
    <row r="69" spans="1:28" x14ac:dyDescent="0.2">
      <c r="A69" s="9"/>
      <c r="B69" s="9"/>
      <c r="C69" s="9"/>
      <c r="D69" s="9"/>
      <c r="E69" s="29"/>
      <c r="F69" s="30"/>
      <c r="G69" s="33"/>
      <c r="H69" s="6"/>
      <c r="I69" s="6"/>
      <c r="J69" s="6"/>
      <c r="K69" s="6"/>
      <c r="L69" s="11"/>
      <c r="M69" s="21"/>
      <c r="N69" s="12"/>
      <c r="O69" s="12"/>
      <c r="P69" s="21"/>
      <c r="Q69" s="21"/>
      <c r="R69" s="21"/>
      <c r="S69" s="21"/>
      <c r="T69" s="9"/>
      <c r="U69" s="21"/>
      <c r="V69" s="21"/>
      <c r="W69" s="21"/>
      <c r="X69" s="21"/>
      <c r="Y69" s="21"/>
      <c r="Z69" s="21"/>
    </row>
    <row r="70" spans="1:28" s="23" customFormat="1" x14ac:dyDescent="0.2">
      <c r="A70" s="10" t="s">
        <v>290</v>
      </c>
      <c r="B70" s="10"/>
      <c r="C70" s="10"/>
      <c r="D70" s="10"/>
      <c r="E70" s="29"/>
      <c r="F70" s="30"/>
      <c r="G70" s="33"/>
      <c r="H70" s="6"/>
      <c r="I70" s="6"/>
      <c r="J70" s="6"/>
      <c r="K70" s="6"/>
      <c r="L70" s="11"/>
      <c r="M70" s="21"/>
      <c r="N70" s="12"/>
      <c r="O70" s="12"/>
      <c r="P70" s="21"/>
      <c r="Q70" s="21"/>
      <c r="R70" s="21"/>
      <c r="S70" s="21"/>
      <c r="T70" s="9"/>
      <c r="U70" s="21"/>
      <c r="V70" s="21"/>
      <c r="W70" s="21"/>
      <c r="X70" s="21"/>
      <c r="Y70" s="21"/>
      <c r="Z70" s="21"/>
    </row>
    <row r="71" spans="1:28" s="23" customFormat="1" x14ac:dyDescent="0.2">
      <c r="A71" s="65" t="s">
        <v>289</v>
      </c>
      <c r="B71" s="65"/>
      <c r="C71" s="65"/>
      <c r="D71" s="65"/>
      <c r="E71" s="29"/>
      <c r="F71" s="30"/>
      <c r="G71" s="33"/>
      <c r="H71" s="6"/>
      <c r="I71" s="6"/>
      <c r="J71" s="6"/>
      <c r="K71" s="6"/>
      <c r="L71" s="11"/>
      <c r="M71" s="21"/>
      <c r="N71" s="12"/>
      <c r="O71" s="12"/>
      <c r="P71" s="21"/>
      <c r="Q71" s="21"/>
      <c r="R71" s="21"/>
      <c r="S71" s="21"/>
      <c r="T71" s="9"/>
      <c r="U71" s="21"/>
      <c r="V71" s="9">
        <f>B4*(1-B7)*B15</f>
        <v>11.25</v>
      </c>
      <c r="W71" s="21">
        <f>B6*B7*B15</f>
        <v>0</v>
      </c>
      <c r="X71" s="9"/>
      <c r="Y71" s="9"/>
      <c r="Z71" s="21"/>
      <c r="AB71" s="39"/>
    </row>
    <row r="72" spans="1:28" s="23" customFormat="1" x14ac:dyDescent="0.2">
      <c r="A72" s="65" t="s">
        <v>407</v>
      </c>
      <c r="B72" s="65"/>
      <c r="C72" s="65"/>
      <c r="D72" s="65"/>
      <c r="E72" s="29"/>
      <c r="F72" s="30"/>
      <c r="G72" s="33"/>
      <c r="H72" s="6"/>
      <c r="I72" s="6"/>
      <c r="J72" s="6"/>
      <c r="K72" s="6"/>
      <c r="L72" s="11"/>
      <c r="M72" s="21"/>
      <c r="N72" s="12"/>
      <c r="O72" s="12"/>
      <c r="P72" s="21"/>
      <c r="Q72" s="21"/>
      <c r="R72" s="21"/>
      <c r="S72" s="21"/>
      <c r="T72" s="9"/>
      <c r="U72" s="21">
        <f>'Machinery(Non-GMO)'!C38*'Machinery(Non-GMO)'!C5</f>
        <v>0.61249999999999993</v>
      </c>
      <c r="V72" s="9"/>
      <c r="W72" s="21"/>
      <c r="X72" s="9"/>
      <c r="Y72" s="9"/>
      <c r="Z72" s="21"/>
      <c r="AB72" s="39"/>
    </row>
    <row r="73" spans="1:28" x14ac:dyDescent="0.2">
      <c r="A73" s="9"/>
      <c r="B73" s="9"/>
      <c r="C73" s="9"/>
      <c r="D73" s="9"/>
      <c r="E73" s="29"/>
      <c r="F73" s="30"/>
      <c r="G73" s="33"/>
      <c r="H73" s="6"/>
      <c r="I73" s="6"/>
      <c r="J73" s="6"/>
      <c r="K73" s="6"/>
      <c r="L73" s="11"/>
      <c r="M73" s="5"/>
      <c r="N73" s="12"/>
      <c r="O73" s="12"/>
      <c r="P73" s="5"/>
      <c r="Q73" s="5"/>
      <c r="R73" s="5"/>
      <c r="S73" s="5"/>
      <c r="T73" s="4"/>
      <c r="U73" s="21"/>
      <c r="V73" s="21"/>
      <c r="W73" s="21"/>
      <c r="X73" s="21"/>
      <c r="Y73" s="21"/>
      <c r="Z73" s="21"/>
      <c r="AB73" s="16"/>
    </row>
    <row r="74" spans="1:28" x14ac:dyDescent="0.2">
      <c r="A74" s="13" t="s">
        <v>83</v>
      </c>
      <c r="B74" s="13"/>
      <c r="C74" s="13"/>
      <c r="D74" s="13"/>
      <c r="E74" s="27"/>
      <c r="F74" s="28"/>
      <c r="G74" s="34"/>
      <c r="H74" s="9"/>
      <c r="I74" s="4"/>
      <c r="J74" s="4"/>
      <c r="K74" s="4"/>
      <c r="L74" s="4"/>
      <c r="M74" s="4"/>
      <c r="N74" s="4"/>
      <c r="O74" s="4"/>
      <c r="P74" s="4"/>
      <c r="Q74" s="4"/>
      <c r="R74" s="4"/>
      <c r="S74" s="4"/>
      <c r="T74" s="4"/>
      <c r="U74" s="15">
        <f t="shared" ref="U74:Z74" si="62">SUM(U20:U73)</f>
        <v>15.143304378293985</v>
      </c>
      <c r="V74" s="15">
        <f t="shared" si="62"/>
        <v>28.901872852171024</v>
      </c>
      <c r="W74" s="15">
        <f t="shared" si="62"/>
        <v>0</v>
      </c>
      <c r="X74" s="15">
        <f t="shared" si="62"/>
        <v>29.892808309407584</v>
      </c>
      <c r="Y74" s="15">
        <f t="shared" si="62"/>
        <v>60.691459294857808</v>
      </c>
      <c r="Z74" s="15">
        <f t="shared" si="62"/>
        <v>0</v>
      </c>
    </row>
    <row r="75" spans="1:28" s="8" customFormat="1" x14ac:dyDescent="0.2">
      <c r="A75" s="13" t="s">
        <v>130</v>
      </c>
      <c r="B75" s="13"/>
      <c r="C75" s="13"/>
      <c r="D75" s="13"/>
      <c r="E75" s="27"/>
      <c r="F75" s="28"/>
      <c r="G75" s="34"/>
      <c r="H75" s="179"/>
      <c r="I75" s="13"/>
      <c r="J75" s="13"/>
      <c r="K75" s="13"/>
      <c r="L75" s="13"/>
      <c r="M75" s="13"/>
      <c r="N75" s="13"/>
      <c r="O75" s="13"/>
      <c r="P75" s="13"/>
      <c r="Q75" s="13"/>
      <c r="R75" s="13"/>
      <c r="S75" s="13"/>
      <c r="T75" s="13"/>
      <c r="U75" s="15">
        <f>U74 - (U74/$Z76)*'Non-GMO'!$J25</f>
        <v>15.143304378293985</v>
      </c>
      <c r="V75" s="15">
        <f>V74 - (V74/$Z76)*'Non-GMO'!$J25</f>
        <v>28.901872852171024</v>
      </c>
      <c r="W75" s="15">
        <f>W74 - (W74/$Z76)*'Non-GMO'!$J25</f>
        <v>0</v>
      </c>
      <c r="X75" s="15">
        <f>X74 - (X74/$Z76)*'Non-GMO'!$J25</f>
        <v>29.892808309407584</v>
      </c>
      <c r="Y75" s="15">
        <f>Y74 - (Y74/$Z76)*'Non-GMO'!$J25</f>
        <v>60.691459294857808</v>
      </c>
      <c r="Z75" s="15">
        <f>'Non-GMO'!J25</f>
        <v>0</v>
      </c>
    </row>
    <row r="76" spans="1:28" x14ac:dyDescent="0.2">
      <c r="Z76" s="7">
        <f>SUM(U74:Z74)</f>
        <v>134.62944483473041</v>
      </c>
    </row>
    <row r="77" spans="1:28" x14ac:dyDescent="0.2">
      <c r="V77" s="2"/>
      <c r="Z77" s="7">
        <f>SUM(U75:Z75)</f>
        <v>134.62944483473041</v>
      </c>
    </row>
    <row r="78" spans="1:28" x14ac:dyDescent="0.2">
      <c r="N78" s="91"/>
      <c r="O78" s="91"/>
      <c r="T78" s="38"/>
      <c r="U78" s="92"/>
      <c r="V78" s="90"/>
      <c r="W78" s="90"/>
      <c r="X78" s="90"/>
      <c r="Y78" s="90"/>
      <c r="Z78" s="92"/>
    </row>
    <row r="79" spans="1:28" x14ac:dyDescent="0.2">
      <c r="T79" s="81"/>
      <c r="U79" s="92"/>
      <c r="V79" s="92"/>
      <c r="W79" s="92"/>
      <c r="X79" s="92"/>
      <c r="Y79" s="92"/>
      <c r="Z79" s="92"/>
    </row>
    <row r="81" spans="1:27" x14ac:dyDescent="0.2">
      <c r="A81" s="699" t="s">
        <v>102</v>
      </c>
      <c r="B81" s="700"/>
      <c r="C81" s="700"/>
      <c r="D81" s="700"/>
      <c r="E81" s="667"/>
      <c r="F81" s="62"/>
      <c r="G81" s="62"/>
      <c r="I81" s="76">
        <f>IF(G51&gt;0,G51,Trucking!H27*'Non-GMO'!E6)</f>
        <v>33.554645280546595</v>
      </c>
      <c r="J81" s="76"/>
      <c r="K81" s="76"/>
      <c r="L81" s="76">
        <f>(('Non-GMO'!E6*Trucking!B27*2)*(1+Trucking!C4))/(Trucking!C3*Trucking!C2)</f>
        <v>2.9842105263157896</v>
      </c>
      <c r="M81" s="76">
        <f>L51*Trucking!C9</f>
        <v>6.1773157894736839</v>
      </c>
      <c r="N81" s="74"/>
      <c r="O81" s="74">
        <f>'Non-GMO'!E6*((((B8*2)/Trucking!C7) + (Trucking!C5/60)))/Trucking!C2</f>
        <v>0.54947368421052634</v>
      </c>
      <c r="P81" s="76">
        <f>O51*B$4*(1-B$7)+O51*B$6*(B$7)</f>
        <v>8.2421052631578959</v>
      </c>
      <c r="Q81" s="76">
        <f>I81-M81-P81</f>
        <v>19.135224227915014</v>
      </c>
      <c r="R81" s="76">
        <f>Q81*B$12</f>
        <v>6.3146239952119547</v>
      </c>
      <c r="S81" s="76">
        <f>Q81-R81</f>
        <v>12.820600232703059</v>
      </c>
      <c r="T81" s="74"/>
      <c r="U81" s="76">
        <f>IF(U$15="Increase",IF(F51="y",0,IF($B8&gt;0,M51*(1+U$16),0)),IF(F51="y",0,IF($B8&gt;0,M51*(1-U$16),0)))</f>
        <v>6.1773157894736839</v>
      </c>
      <c r="V81" s="76">
        <f>IF(V$15="Increase",IF(F51="y",0,IF($B8&gt;0,(O51*B$4*(1-B$7)*(1+V$16)),0)),IF(F51="y",0,IF($B8&gt;0,(O51*B$4*(1-B$7)*(1-V$16)),0)))</f>
        <v>8.2421052631578959</v>
      </c>
      <c r="W81" s="76">
        <f>IF(W$15="Increase",IF(F51="y",0,IF($B8&gt;0,(O51*B$6*(B$7)*(1+W$16)),0)),IF(F51="y",0,IF($B8&gt;0,(O51*B$6*(B$7)*(1-W$16)),0)))</f>
        <v>0</v>
      </c>
      <c r="X81" s="76">
        <f>IF(X$15="Increase",IF(F51="y",0,IF($B8&gt;0,R51*(1+X$16),0)),IF(F51="y",0,IF($B8&gt;0,R51*(1-X$16),0)))</f>
        <v>6.3146239952119547</v>
      </c>
      <c r="Y81" s="76">
        <f>IF(Y$15="Increase",IF(F51="y",0,IF($B8&gt;0,S51*(1+Y$16),0)),IF(F51="y",0,IF($B8&gt;0,S51*(1-Y$16),0)))</f>
        <v>12.820600232703059</v>
      </c>
      <c r="Z81" s="76">
        <f>IF(Z$15="Increase",IF(F51="y",I51*(1+Z$16),0),IF(F51="y",I51*(1-Z$16),0))</f>
        <v>0</v>
      </c>
      <c r="AA81" s="2">
        <f>SUM(U81:Z81)</f>
        <v>33.554645280546595</v>
      </c>
    </row>
    <row r="85" spans="1:27" x14ac:dyDescent="0.2">
      <c r="I85" s="97"/>
      <c r="J85" s="97"/>
      <c r="K85" s="97"/>
    </row>
    <row r="86" spans="1:27" x14ac:dyDescent="0.2">
      <c r="I86" s="82"/>
      <c r="J86" s="82"/>
      <c r="K86" s="82"/>
    </row>
    <row r="87" spans="1:27" x14ac:dyDescent="0.2">
      <c r="I87" s="82"/>
      <c r="J87" s="82"/>
      <c r="K87" s="82"/>
    </row>
    <row r="102" spans="8:8" x14ac:dyDescent="0.2">
      <c r="H102" s="23" t="str">
        <f>'Machinery(Non-GMO)'!B49</f>
        <v>Y</v>
      </c>
    </row>
    <row r="103" spans="8:8" x14ac:dyDescent="0.2">
      <c r="H103" s="23" t="str">
        <f>'Machinery(Non-GMO)'!B50</f>
        <v>N</v>
      </c>
    </row>
    <row r="164" spans="1:8" x14ac:dyDescent="0.2">
      <c r="A164" s="4"/>
      <c r="B164" s="4"/>
      <c r="C164" s="4"/>
      <c r="D164" s="4"/>
      <c r="E164" s="701" t="s">
        <v>229</v>
      </c>
      <c r="F164" s="701"/>
      <c r="G164" s="701"/>
      <c r="H164" s="701"/>
    </row>
    <row r="165" spans="1:8" ht="25.5" x14ac:dyDescent="0.2">
      <c r="A165" s="4"/>
      <c r="B165" s="4"/>
      <c r="C165" s="4"/>
      <c r="D165" s="4"/>
      <c r="E165" s="77" t="s">
        <v>226</v>
      </c>
      <c r="F165" s="77" t="s">
        <v>227</v>
      </c>
      <c r="G165" s="77" t="s">
        <v>226</v>
      </c>
      <c r="H165" s="180" t="s">
        <v>227</v>
      </c>
    </row>
    <row r="166" spans="1:8" x14ac:dyDescent="0.2">
      <c r="A166" s="98" t="s">
        <v>275</v>
      </c>
      <c r="B166" s="98"/>
      <c r="C166" s="98"/>
      <c r="D166" s="98"/>
      <c r="E166" s="99">
        <v>0</v>
      </c>
      <c r="F166" s="99">
        <v>0.5</v>
      </c>
      <c r="G166" s="106">
        <v>0</v>
      </c>
      <c r="H166" s="132">
        <f>IF('Machinery(Non-GMO)'!$C$17='Machinery(Non-GMO)'!$B$73,F166,'Machinery(Non-GMO)'!#REF!)</f>
        <v>0.5</v>
      </c>
    </row>
    <row r="167" spans="1:8" x14ac:dyDescent="0.2">
      <c r="A167" s="98" t="s">
        <v>14</v>
      </c>
      <c r="B167" s="98"/>
      <c r="C167" s="98"/>
      <c r="D167" s="98"/>
      <c r="E167" s="99">
        <v>0</v>
      </c>
      <c r="F167" s="99">
        <v>1</v>
      </c>
      <c r="G167" s="106">
        <v>0</v>
      </c>
      <c r="H167" s="132">
        <f>IF('Machinery(Non-GMO)'!$C$17='Machinery(Non-GMO)'!$B$73,F167,'Machinery(Non-GMO)'!#REF!)</f>
        <v>1</v>
      </c>
    </row>
    <row r="168" spans="1:8" x14ac:dyDescent="0.2">
      <c r="A168" s="98" t="s">
        <v>16</v>
      </c>
      <c r="B168" s="98"/>
      <c r="C168" s="98"/>
      <c r="D168" s="98"/>
      <c r="E168" s="99">
        <v>0</v>
      </c>
      <c r="F168" s="99">
        <v>1</v>
      </c>
      <c r="G168" s="106">
        <v>0</v>
      </c>
      <c r="H168" s="132">
        <f>IF('Machinery(Non-GMO)'!$C$17='Machinery(Non-GMO)'!$B$73,F168,'Machinery(Non-GMO)'!D28)</f>
        <v>1</v>
      </c>
    </row>
    <row r="169" spans="1:8" x14ac:dyDescent="0.2">
      <c r="A169" s="100" t="s">
        <v>276</v>
      </c>
      <c r="B169" s="100"/>
      <c r="C169" s="100"/>
      <c r="D169" s="100"/>
      <c r="E169" s="99">
        <v>0</v>
      </c>
      <c r="F169" s="99">
        <v>1</v>
      </c>
      <c r="G169" s="106">
        <v>0</v>
      </c>
      <c r="H169" s="132">
        <f>IF('Machinery(Non-GMO)'!$C$17='Machinery(Non-GMO)'!$B$73,F169,'Machinery(Non-GMO)'!D22)</f>
        <v>1</v>
      </c>
    </row>
    <row r="170" spans="1:8" x14ac:dyDescent="0.2">
      <c r="A170" s="100" t="s">
        <v>277</v>
      </c>
      <c r="B170" s="100"/>
      <c r="C170" s="100"/>
      <c r="D170" s="100"/>
      <c r="E170" s="99">
        <v>1</v>
      </c>
      <c r="F170" s="99">
        <v>0</v>
      </c>
      <c r="G170" s="78">
        <f>IF('Machinery(Non-GMO)'!$C$17='Machinery(Non-GMO)'!$B$73,E170,'Machinery(Non-GMO)'!#REF!)</f>
        <v>1</v>
      </c>
      <c r="H170" s="132">
        <v>0</v>
      </c>
    </row>
    <row r="171" spans="1:8" x14ac:dyDescent="0.2">
      <c r="A171" s="100" t="s">
        <v>278</v>
      </c>
      <c r="B171" s="100"/>
      <c r="C171" s="100"/>
      <c r="D171" s="100"/>
      <c r="E171" s="99">
        <v>1</v>
      </c>
      <c r="F171" s="99">
        <v>1</v>
      </c>
      <c r="G171" s="78">
        <f>IF('Machinery(Non-GMO)'!$C$17='Machinery(Non-GMO)'!$B$73,E171,'Machinery(Non-GMO)'!D26)</f>
        <v>1</v>
      </c>
      <c r="H171" s="132">
        <f>IF('Machinery(Non-GMO)'!$C$17='Machinery(Non-GMO)'!$B$73,F171,'Machinery(Non-GMO)'!D26)</f>
        <v>1</v>
      </c>
    </row>
    <row r="172" spans="1:8" x14ac:dyDescent="0.2">
      <c r="A172" s="100" t="s">
        <v>47</v>
      </c>
      <c r="B172" s="100"/>
      <c r="C172" s="100"/>
      <c r="D172" s="100"/>
      <c r="E172" s="99">
        <v>1</v>
      </c>
      <c r="F172" s="99">
        <v>1</v>
      </c>
      <c r="G172" s="78">
        <f>IF('Machinery(Non-GMO)'!$C$17='Machinery(Non-GMO)'!$B$73,E172,'Machinery(Non-GMO)'!D27)</f>
        <v>1</v>
      </c>
      <c r="H172" s="132">
        <f>IF('Machinery(Non-GMO)'!$C$17='Machinery(Non-GMO)'!$B$73,F172,'Machinery(Non-GMO)'!D27)</f>
        <v>1</v>
      </c>
    </row>
    <row r="173" spans="1:8" x14ac:dyDescent="0.2">
      <c r="A173" s="100" t="s">
        <v>279</v>
      </c>
      <c r="B173" s="100"/>
      <c r="C173" s="100"/>
      <c r="D173" s="100"/>
      <c r="E173" s="99">
        <v>2</v>
      </c>
      <c r="F173" s="99">
        <v>2</v>
      </c>
      <c r="G173" s="78">
        <f>IF('Machinery(Non-GMO)'!$C$17='Machinery(Non-GMO)'!$B$73,E173,'Machinery(Non-GMO)'!D24)</f>
        <v>2</v>
      </c>
      <c r="H173" s="132">
        <f>IF('Machinery(Non-GMO)'!$C$17='Machinery(Non-GMO)'!$B$73,F173,'Machinery(Non-GMO)'!D24)</f>
        <v>2</v>
      </c>
    </row>
    <row r="174" spans="1:8" x14ac:dyDescent="0.2">
      <c r="A174" s="100" t="s">
        <v>141</v>
      </c>
      <c r="B174" s="100"/>
      <c r="C174" s="100"/>
      <c r="D174" s="100"/>
      <c r="E174" s="99">
        <v>0</v>
      </c>
      <c r="F174" s="99">
        <v>0</v>
      </c>
      <c r="G174" s="78">
        <f>IF('Machinery(Non-GMO)'!$C$17='Machinery(Non-GMO)'!$B$73,E174,'Machinery(Non-GMO)'!D25)</f>
        <v>0</v>
      </c>
      <c r="H174" s="132">
        <f>IF('Machinery(Non-GMO)'!$C$17='Machinery(Non-GMO)'!$B$73,F174,'Machinery(Non-GMO)'!D25)</f>
        <v>0</v>
      </c>
    </row>
    <row r="175" spans="1:8" x14ac:dyDescent="0.2">
      <c r="A175" s="100" t="s">
        <v>280</v>
      </c>
      <c r="B175" s="100"/>
      <c r="C175" s="100"/>
      <c r="D175" s="100"/>
      <c r="E175" s="99">
        <v>2</v>
      </c>
      <c r="F175" s="99">
        <v>2</v>
      </c>
      <c r="G175" s="78">
        <f>IF('Machinery(Non-GMO)'!$C$17='Machinery(Non-GMO)'!$B$73,E175,'Machinery(Non-GMO)'!D23)</f>
        <v>2</v>
      </c>
      <c r="H175" s="132">
        <f>IF('Machinery(Non-GMO)'!$C$17='Machinery(Non-GMO)'!$B$73,F175,'Machinery(Non-GMO)'!D23)</f>
        <v>2</v>
      </c>
    </row>
    <row r="176" spans="1:8" x14ac:dyDescent="0.2">
      <c r="A176" s="101" t="s">
        <v>281</v>
      </c>
      <c r="B176" s="101"/>
      <c r="C176" s="101"/>
      <c r="D176" s="101"/>
      <c r="E176" s="102">
        <v>1</v>
      </c>
      <c r="F176" s="102">
        <v>1</v>
      </c>
      <c r="G176" s="78">
        <f>IF('Machinery(Non-GMO)'!$C$17='Machinery(Non-GMO)'!$B$73,E176,'Machinery(Non-GMO)'!D40)</f>
        <v>1</v>
      </c>
      <c r="H176" s="132">
        <f>IF('Machinery(Non-GMO)'!$C$17='Machinery(Non-GMO)'!$B$73,F176,'Machinery(Non-GMO)'!D40)</f>
        <v>1</v>
      </c>
    </row>
    <row r="178" spans="1:4" x14ac:dyDescent="0.2">
      <c r="A178" s="16" t="s">
        <v>282</v>
      </c>
      <c r="B178" s="16"/>
      <c r="C178" s="16"/>
      <c r="D178" s="16"/>
    </row>
    <row r="179" spans="1:4" x14ac:dyDescent="0.2">
      <c r="A179" s="82" t="s">
        <v>285</v>
      </c>
      <c r="B179" s="82"/>
      <c r="C179" s="82"/>
      <c r="D179" s="82"/>
    </row>
    <row r="180" spans="1:4" x14ac:dyDescent="0.2">
      <c r="A180" s="82" t="s">
        <v>283</v>
      </c>
      <c r="B180" s="82"/>
      <c r="C180" s="82"/>
      <c r="D180" s="82"/>
    </row>
    <row r="181" spans="1:4" x14ac:dyDescent="0.2">
      <c r="A181" s="82" t="s">
        <v>284</v>
      </c>
      <c r="B181" s="82"/>
      <c r="C181" s="82"/>
      <c r="D181" s="82"/>
    </row>
  </sheetData>
  <mergeCells count="20">
    <mergeCell ref="D6:Z6"/>
    <mergeCell ref="A1:Z1"/>
    <mergeCell ref="D2:Z2"/>
    <mergeCell ref="D3:Z3"/>
    <mergeCell ref="D4:Z4"/>
    <mergeCell ref="D5:Z5"/>
    <mergeCell ref="D7:Z7"/>
    <mergeCell ref="D8:Z8"/>
    <mergeCell ref="A9:G9"/>
    <mergeCell ref="H9:Z9"/>
    <mergeCell ref="A10:G10"/>
    <mergeCell ref="H10:Z10"/>
    <mergeCell ref="A81:E81"/>
    <mergeCell ref="E164:H164"/>
    <mergeCell ref="A11:G11"/>
    <mergeCell ref="H11:Z11"/>
    <mergeCell ref="H12:Z12"/>
    <mergeCell ref="H14:T16"/>
    <mergeCell ref="U14:Z14"/>
    <mergeCell ref="A51:E51"/>
  </mergeCells>
  <pageMargins left="0.75" right="0.75" top="1" bottom="1" header="0.5" footer="0.5"/>
  <pageSetup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election activeCell="L29" sqref="L29"/>
    </sheetView>
  </sheetViews>
  <sheetFormatPr defaultRowHeight="12.75" x14ac:dyDescent="0.2"/>
  <cols>
    <col min="1" max="1" width="36.7109375" customWidth="1"/>
    <col min="2" max="2" width="10.7109375" customWidth="1"/>
    <col min="3" max="4" width="11.42578125" customWidth="1"/>
    <col min="5" max="5" width="7.140625" customWidth="1"/>
    <col min="9" max="9" width="11.42578125" customWidth="1"/>
  </cols>
  <sheetData>
    <row r="1" spans="1:16" s="42" customFormat="1" ht="25.5" x14ac:dyDescent="0.2">
      <c r="A1" s="19"/>
      <c r="B1" s="43" t="s">
        <v>170</v>
      </c>
      <c r="C1" s="43" t="s">
        <v>171</v>
      </c>
    </row>
    <row r="2" spans="1:16" x14ac:dyDescent="0.2">
      <c r="A2" s="20" t="s">
        <v>172</v>
      </c>
      <c r="B2" s="44">
        <v>950</v>
      </c>
      <c r="C2" s="45">
        <v>950</v>
      </c>
    </row>
    <row r="3" spans="1:16" x14ac:dyDescent="0.2">
      <c r="A3" s="4" t="s">
        <v>173</v>
      </c>
      <c r="B3" s="46">
        <v>6</v>
      </c>
      <c r="C3" s="47">
        <v>6</v>
      </c>
    </row>
    <row r="4" spans="1:16" x14ac:dyDescent="0.2">
      <c r="A4" s="20" t="s">
        <v>174</v>
      </c>
      <c r="B4" s="48">
        <v>0.05</v>
      </c>
      <c r="C4" s="49">
        <v>0.05</v>
      </c>
    </row>
    <row r="5" spans="1:16" x14ac:dyDescent="0.2">
      <c r="A5" s="20" t="s">
        <v>175</v>
      </c>
      <c r="B5" s="50">
        <v>45</v>
      </c>
      <c r="C5" s="64">
        <v>60</v>
      </c>
      <c r="E5" s="67" t="s">
        <v>194</v>
      </c>
      <c r="F5" s="62"/>
      <c r="G5" s="62"/>
      <c r="H5" s="62"/>
    </row>
    <row r="6" spans="1:16" x14ac:dyDescent="0.2">
      <c r="A6" s="20" t="s">
        <v>176</v>
      </c>
      <c r="B6" s="51">
        <v>15</v>
      </c>
      <c r="C6" s="72">
        <f>'Machinery(GMO)'!C6*(1-'Machinery(GMO)'!C9) + 'Machinery(GMO)'!C8*'Machinery(GMO)'!C9</f>
        <v>15</v>
      </c>
    </row>
    <row r="7" spans="1:16" x14ac:dyDescent="0.2">
      <c r="A7" s="20" t="s">
        <v>177</v>
      </c>
      <c r="B7" s="50">
        <v>45</v>
      </c>
      <c r="C7" s="45">
        <v>45</v>
      </c>
    </row>
    <row r="8" spans="1:16" x14ac:dyDescent="0.2">
      <c r="A8" s="20" t="s">
        <v>188</v>
      </c>
      <c r="B8" s="44"/>
      <c r="C8" s="63">
        <v>0.32</v>
      </c>
    </row>
    <row r="9" spans="1:16" x14ac:dyDescent="0.2">
      <c r="A9" s="65" t="s">
        <v>178</v>
      </c>
      <c r="B9" s="66"/>
      <c r="C9" s="66">
        <f>C8+'Machinery(GMO)'!C5</f>
        <v>2.0699999999999998</v>
      </c>
    </row>
    <row r="10" spans="1:16" x14ac:dyDescent="0.2">
      <c r="A10" s="20" t="s">
        <v>190</v>
      </c>
      <c r="B10" s="44"/>
      <c r="C10" s="63">
        <v>1.02</v>
      </c>
      <c r="E10" s="68" t="s">
        <v>189</v>
      </c>
      <c r="F10" s="62"/>
      <c r="G10" s="62"/>
      <c r="H10" s="62"/>
      <c r="I10" s="62"/>
      <c r="J10" s="62"/>
      <c r="K10" s="62"/>
      <c r="L10" s="62"/>
      <c r="M10" s="62"/>
      <c r="N10" s="62"/>
      <c r="O10" s="62"/>
      <c r="P10" s="62"/>
    </row>
    <row r="11" spans="1:16" x14ac:dyDescent="0.2">
      <c r="A11" s="16"/>
      <c r="B11" s="52"/>
      <c r="C11" s="53"/>
    </row>
    <row r="12" spans="1:16" x14ac:dyDescent="0.2">
      <c r="C12" s="54" t="s">
        <v>179</v>
      </c>
    </row>
    <row r="13" spans="1:16" x14ac:dyDescent="0.2">
      <c r="B13" s="55" t="s">
        <v>180</v>
      </c>
      <c r="C13" s="56">
        <v>8.3834683054144016E-2</v>
      </c>
    </row>
    <row r="14" spans="1:16" x14ac:dyDescent="0.2">
      <c r="B14" s="55" t="s">
        <v>181</v>
      </c>
      <c r="C14" s="56">
        <v>6.39358654084756E-4</v>
      </c>
    </row>
    <row r="15" spans="1:16" ht="13.5" thickBot="1" x14ac:dyDescent="0.25">
      <c r="B15" s="57" t="s">
        <v>182</v>
      </c>
      <c r="C15" s="56"/>
    </row>
    <row r="16" spans="1:16" x14ac:dyDescent="0.2">
      <c r="C16" s="55"/>
    </row>
    <row r="17" spans="1:10" ht="51" x14ac:dyDescent="0.2">
      <c r="B17" s="41" t="s">
        <v>181</v>
      </c>
      <c r="C17" s="58" t="s">
        <v>183</v>
      </c>
      <c r="D17" s="58" t="s">
        <v>184</v>
      </c>
      <c r="E17" s="58" t="s">
        <v>185</v>
      </c>
      <c r="F17" s="58" t="s">
        <v>186</v>
      </c>
      <c r="G17" s="58" t="s">
        <v>187</v>
      </c>
      <c r="H17" s="59" t="s">
        <v>187</v>
      </c>
      <c r="I17" s="58" t="s">
        <v>191</v>
      </c>
      <c r="J17" s="58"/>
    </row>
    <row r="18" spans="1:10" x14ac:dyDescent="0.2">
      <c r="B18">
        <v>5</v>
      </c>
      <c r="C18" s="18">
        <f t="shared" ref="C18:C23" si="0">C$13+B18*C$14+(B18^2)*C$15</f>
        <v>8.70314763245678E-2</v>
      </c>
      <c r="D18" s="18">
        <f t="shared" ref="D18:D23" si="1">C18*C$10</f>
        <v>8.8772105851059158E-2</v>
      </c>
      <c r="E18" s="18">
        <f t="shared" ref="E18:E23" si="2">(B18*2*C$9*(1+C$4))/(C$3*C$2)</f>
        <v>3.8131578947368421E-3</v>
      </c>
      <c r="F18" s="18">
        <f t="shared" ref="F18:F23" si="3">((((B18*2)/C$7)+C$5/60)*C$6)/C$2</f>
        <v>1.9298245614035089E-2</v>
      </c>
      <c r="G18" s="18">
        <f t="shared" ref="G18:G23" si="4">SUM(D18:F18)</f>
        <v>0.11188350935983109</v>
      </c>
      <c r="H18" s="60">
        <f t="shared" ref="H18:H23" si="5">(C$13+B18*C$14+(B18^2)*C$15)*C$10+((B18*2*C$9*(1+C$4))/(C$3*C$2))+((((B18*2)/C$7)+C$5/60)*C$6)/C$2</f>
        <v>0.11188350935983109</v>
      </c>
      <c r="I18" s="61">
        <f t="shared" ref="I18:I23" si="6">H18*C$2</f>
        <v>106.28933389183953</v>
      </c>
      <c r="J18" s="2"/>
    </row>
    <row r="19" spans="1:10" x14ac:dyDescent="0.2">
      <c r="B19">
        <v>10</v>
      </c>
      <c r="C19" s="18">
        <f t="shared" si="0"/>
        <v>9.022826959499157E-2</v>
      </c>
      <c r="D19" s="18">
        <f t="shared" si="1"/>
        <v>9.2032834986891396E-2</v>
      </c>
      <c r="E19" s="18">
        <f t="shared" si="2"/>
        <v>7.6263157894736842E-3</v>
      </c>
      <c r="F19" s="18">
        <f t="shared" si="3"/>
        <v>2.2807017543859651E-2</v>
      </c>
      <c r="G19" s="18">
        <f t="shared" si="4"/>
        <v>0.12246616832022474</v>
      </c>
      <c r="H19" s="60">
        <f t="shared" si="5"/>
        <v>0.12246616832022474</v>
      </c>
      <c r="I19" s="61">
        <f t="shared" si="6"/>
        <v>116.3428599042135</v>
      </c>
      <c r="J19" s="2"/>
    </row>
    <row r="20" spans="1:10" x14ac:dyDescent="0.2">
      <c r="B20">
        <v>25</v>
      </c>
      <c r="C20" s="18">
        <f t="shared" si="0"/>
        <v>9.9818649406262921E-2</v>
      </c>
      <c r="D20" s="18">
        <f t="shared" si="1"/>
        <v>0.10181502239438818</v>
      </c>
      <c r="E20" s="18">
        <f t="shared" si="2"/>
        <v>1.9065789473684206E-2</v>
      </c>
      <c r="F20" s="18">
        <f t="shared" si="3"/>
        <v>3.3333333333333333E-2</v>
      </c>
      <c r="G20" s="18">
        <f t="shared" si="4"/>
        <v>0.15421414520140572</v>
      </c>
      <c r="H20" s="60">
        <f t="shared" si="5"/>
        <v>0.15421414520140572</v>
      </c>
      <c r="I20" s="61">
        <f t="shared" si="6"/>
        <v>146.50343794133545</v>
      </c>
      <c r="J20" s="2"/>
    </row>
    <row r="21" spans="1:10" x14ac:dyDescent="0.2">
      <c r="B21">
        <v>50</v>
      </c>
      <c r="C21" s="18">
        <f t="shared" si="0"/>
        <v>0.11580261575838181</v>
      </c>
      <c r="D21" s="18">
        <f t="shared" si="1"/>
        <v>0.11811866807354945</v>
      </c>
      <c r="E21" s="18">
        <f t="shared" si="2"/>
        <v>3.8131578947368412E-2</v>
      </c>
      <c r="F21" s="18">
        <f t="shared" si="3"/>
        <v>5.0877192982456146E-2</v>
      </c>
      <c r="G21" s="18">
        <f t="shared" si="4"/>
        <v>0.20712744000337402</v>
      </c>
      <c r="H21" s="60">
        <f t="shared" si="5"/>
        <v>0.20712744000337402</v>
      </c>
      <c r="I21" s="61">
        <f t="shared" si="6"/>
        <v>196.77106800320533</v>
      </c>
      <c r="J21" s="2"/>
    </row>
    <row r="22" spans="1:10" x14ac:dyDescent="0.2">
      <c r="B22">
        <v>100</v>
      </c>
      <c r="C22" s="18">
        <f t="shared" si="0"/>
        <v>0.14777054846261961</v>
      </c>
      <c r="D22" s="18">
        <f t="shared" si="1"/>
        <v>0.150725959431872</v>
      </c>
      <c r="E22" s="18">
        <f t="shared" si="2"/>
        <v>7.6263157894736824E-2</v>
      </c>
      <c r="F22" s="18">
        <f t="shared" si="3"/>
        <v>8.5964912280701758E-2</v>
      </c>
      <c r="G22" s="18">
        <f t="shared" si="4"/>
        <v>0.31295402960731056</v>
      </c>
      <c r="H22" s="60">
        <f t="shared" si="5"/>
        <v>0.31295402960731056</v>
      </c>
      <c r="I22" s="61">
        <f t="shared" si="6"/>
        <v>297.306328126945</v>
      </c>
      <c r="J22" s="2"/>
    </row>
    <row r="23" spans="1:10" x14ac:dyDescent="0.2">
      <c r="B23">
        <v>200</v>
      </c>
      <c r="C23" s="18">
        <f t="shared" si="0"/>
        <v>0.21170641387109521</v>
      </c>
      <c r="D23" s="18">
        <f t="shared" si="1"/>
        <v>0.2159405421485171</v>
      </c>
      <c r="E23" s="18">
        <f t="shared" si="2"/>
        <v>0.15252631578947365</v>
      </c>
      <c r="F23" s="18">
        <f t="shared" si="3"/>
        <v>0.156140350877193</v>
      </c>
      <c r="G23" s="18">
        <f t="shared" si="4"/>
        <v>0.52460720881518375</v>
      </c>
      <c r="H23" s="60">
        <f t="shared" si="5"/>
        <v>0.52460720881518375</v>
      </c>
      <c r="I23" s="61">
        <f t="shared" si="6"/>
        <v>498.37684837442458</v>
      </c>
      <c r="J23" s="2"/>
    </row>
    <row r="24" spans="1:10" x14ac:dyDescent="0.2">
      <c r="C24" s="18"/>
      <c r="D24" s="18"/>
      <c r="E24" s="18"/>
      <c r="F24" s="18"/>
      <c r="G24" s="18"/>
      <c r="I24" s="61"/>
      <c r="J24" s="2"/>
    </row>
    <row r="25" spans="1:10" x14ac:dyDescent="0.2">
      <c r="A25" s="336" t="s">
        <v>431</v>
      </c>
      <c r="B25" s="337">
        <f>GMO!I26</f>
        <v>25</v>
      </c>
      <c r="C25" s="69">
        <f>C$13+B25*C$14+(B25^2)*C$15</f>
        <v>9.9818649406262921E-2</v>
      </c>
      <c r="D25" s="69">
        <f>C25*C$10</f>
        <v>0.10181502239438818</v>
      </c>
      <c r="E25" s="69">
        <f>(B25*2*C$9*(1+C$4))/(C$3*C$2)</f>
        <v>1.9065789473684206E-2</v>
      </c>
      <c r="F25" s="69">
        <f>((((B25*2)/C$7)+C$5/60)*C$6)/C$2</f>
        <v>3.3333333333333333E-2</v>
      </c>
      <c r="G25" s="69">
        <f>SUM(D25:F25)</f>
        <v>0.15421414520140572</v>
      </c>
      <c r="H25" s="70">
        <f>(C$13+B25*C$14+(B25^2)*C$15)*C$10+((B25*2*C$9*(1+C$4))/(C$3*C$2))+((((B25*2)/C$7)+C$5/60)*C$6)/C$2</f>
        <v>0.15421414520140572</v>
      </c>
      <c r="I25" s="71">
        <f>H25*C$2</f>
        <v>146.50343794133545</v>
      </c>
      <c r="J25" s="2"/>
    </row>
    <row r="26" spans="1:10" x14ac:dyDescent="0.2">
      <c r="A26" s="336" t="s">
        <v>432</v>
      </c>
      <c r="B26" s="337">
        <f>Heirloom!I26</f>
        <v>75</v>
      </c>
      <c r="C26" s="69">
        <f>C$13+B26*C$14+(B26^2)*C$15</f>
        <v>0.13178658211050071</v>
      </c>
      <c r="D26" s="69">
        <f>C26*C$10</f>
        <v>0.13442231375271071</v>
      </c>
      <c r="E26" s="69">
        <f>(B26*2*C$9*(1+C$4))/(C$3*C$2)</f>
        <v>5.7197368421052636E-2</v>
      </c>
      <c r="F26" s="69">
        <f>((((B26*2)/C$7)+C$5/60)*C$6)/C$2</f>
        <v>6.8421052631578966E-2</v>
      </c>
      <c r="G26" s="69">
        <f>SUM(D26:F26)</f>
        <v>0.26004073480534229</v>
      </c>
      <c r="H26" s="70">
        <f>(C$13+B26*C$14+(B26^2)*C$15)*C$10+((B26*2*C$9*(1+C$4))/(C$3*C$2))+((((B26*2)/C$7)+C$5/60)*C$6)/C$2</f>
        <v>0.26004073480534229</v>
      </c>
      <c r="I26" s="71">
        <f>H26*C$2</f>
        <v>247.03869806507518</v>
      </c>
      <c r="J26" s="2"/>
    </row>
    <row r="27" spans="1:10" x14ac:dyDescent="0.2">
      <c r="A27" s="336" t="s">
        <v>433</v>
      </c>
      <c r="B27" s="337">
        <f>'Non-GMO'!I26</f>
        <v>50</v>
      </c>
      <c r="C27" s="69">
        <f>C$13+B27*C$14+(B27^2)*C$15</f>
        <v>0.11580261575838181</v>
      </c>
      <c r="D27" s="69">
        <f>C27*C$10</f>
        <v>0.11811866807354945</v>
      </c>
      <c r="E27" s="69">
        <f>(B27*2*C$9*(1+C$4))/(C$3*C$2)</f>
        <v>3.8131578947368412E-2</v>
      </c>
      <c r="F27" s="69">
        <f>((((B27*2)/C$7)+C$5/60)*C$6)/C$2</f>
        <v>5.0877192982456146E-2</v>
      </c>
      <c r="G27" s="69">
        <f>SUM(D27:F27)</f>
        <v>0.20712744000337402</v>
      </c>
      <c r="H27" s="70">
        <f>(C$13+B27*C$14+(B27^2)*C$15)*C$10+((B27*2*C$9*(1+C$4))/(C$3*C$2))+((((B27*2)/C$7)+C$5/60)*C$6)/C$2</f>
        <v>0.20712744000337402</v>
      </c>
      <c r="I27" s="71">
        <f>H27*C$2</f>
        <v>196.77106800320533</v>
      </c>
      <c r="J27" s="2"/>
    </row>
    <row r="29" spans="1:10" x14ac:dyDescent="0.2">
      <c r="A29" t="s">
        <v>303</v>
      </c>
    </row>
    <row r="50" spans="1:9" x14ac:dyDescent="0.2">
      <c r="A50" s="8" t="s">
        <v>304</v>
      </c>
      <c r="B50" s="73">
        <f>Soybeans!I26</f>
        <v>25</v>
      </c>
      <c r="C50" s="69">
        <f>C$13+B50*C$14+(B50^2)*C$15</f>
        <v>9.9818649406262921E-2</v>
      </c>
      <c r="D50" s="69">
        <f>C50*C$10</f>
        <v>0.10181502239438818</v>
      </c>
      <c r="E50" s="69">
        <f>(B50*2*C$9*(1+C$4))/(C$3*C$2)</f>
        <v>1.9065789473684206E-2</v>
      </c>
      <c r="F50" s="69">
        <f>((((B50*2)/C$7)+C$5/60)*C$6)/C$2</f>
        <v>3.3333333333333333E-2</v>
      </c>
      <c r="G50" s="69">
        <f>SUM(D50:F50)</f>
        <v>0.15421414520140572</v>
      </c>
      <c r="H50" s="70">
        <f>(C$13+B50*C$14+(B50^2)*C$15)*C$10+((B50*2*C$9*(1+C$4))/(C$3*C$2))+((((B50*2)/C$7)+C$5/60)*C$6)/C$2</f>
        <v>0.15421414520140572</v>
      </c>
      <c r="I50" s="71">
        <f>H50*C$2</f>
        <v>146.50343794133545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1"/>
  <sheetViews>
    <sheetView showGridLines="0" workbookViewId="0">
      <selection activeCell="J22" sqref="J22"/>
    </sheetView>
  </sheetViews>
  <sheetFormatPr defaultRowHeight="12.75" x14ac:dyDescent="0.2"/>
  <cols>
    <col min="1" max="1" width="3.7109375" style="340" customWidth="1"/>
    <col min="2" max="2" width="28.140625" style="340" customWidth="1"/>
    <col min="3" max="5" width="10.7109375" style="340" customWidth="1"/>
    <col min="6" max="6" width="3.7109375" style="340" customWidth="1"/>
    <col min="7" max="11" width="10.7109375" style="340" customWidth="1"/>
    <col min="12" max="16384" width="9.140625" style="340"/>
  </cols>
  <sheetData>
    <row r="2" spans="2:13" ht="15.75" x14ac:dyDescent="0.25">
      <c r="B2" s="612" t="s">
        <v>256</v>
      </c>
      <c r="C2" s="612"/>
      <c r="D2" s="612"/>
      <c r="E2" s="612"/>
      <c r="F2" s="612"/>
      <c r="G2" s="612"/>
      <c r="H2" s="612"/>
      <c r="I2" s="612"/>
      <c r="J2" s="612"/>
      <c r="K2" s="612"/>
    </row>
    <row r="3" spans="2:13" ht="5.0999999999999996" customHeight="1" x14ac:dyDescent="0.2">
      <c r="B3" s="704"/>
      <c r="C3" s="704"/>
      <c r="D3" s="704"/>
      <c r="E3" s="704"/>
      <c r="F3" s="704"/>
      <c r="G3" s="704"/>
      <c r="H3" s="704"/>
      <c r="I3" s="704"/>
      <c r="J3" s="704"/>
      <c r="K3" s="704"/>
    </row>
    <row r="4" spans="2:13" ht="12.95" customHeight="1" x14ac:dyDescent="0.2">
      <c r="B4" s="482"/>
      <c r="C4" s="483" t="s">
        <v>428</v>
      </c>
      <c r="D4" s="483" t="s">
        <v>429</v>
      </c>
      <c r="E4" s="483" t="s">
        <v>430</v>
      </c>
      <c r="F4" s="483"/>
      <c r="G4" s="705"/>
      <c r="H4" s="705"/>
      <c r="I4" s="705"/>
      <c r="J4" s="705"/>
      <c r="K4" s="705"/>
    </row>
    <row r="5" spans="2:13" ht="12.95" customHeight="1" x14ac:dyDescent="0.2">
      <c r="B5" s="484" t="s">
        <v>257</v>
      </c>
      <c r="C5" s="485">
        <f>GMO!I30</f>
        <v>0.25</v>
      </c>
      <c r="D5" s="485">
        <f>Heirloom!I30</f>
        <v>0.5</v>
      </c>
      <c r="E5" s="485">
        <f>'Non-GMO'!I30</f>
        <v>0.5</v>
      </c>
      <c r="F5" s="485"/>
      <c r="G5" s="640" t="s">
        <v>467</v>
      </c>
      <c r="H5" s="705"/>
      <c r="I5" s="705"/>
      <c r="J5" s="705"/>
      <c r="K5" s="705"/>
    </row>
    <row r="6" spans="2:13" ht="12.95" customHeight="1" x14ac:dyDescent="0.2">
      <c r="B6" s="484" t="s">
        <v>258</v>
      </c>
      <c r="C6" s="497">
        <v>3</v>
      </c>
      <c r="D6" s="497">
        <v>3</v>
      </c>
      <c r="E6" s="497">
        <v>3</v>
      </c>
      <c r="F6" s="486"/>
      <c r="G6" s="705" t="s">
        <v>259</v>
      </c>
      <c r="H6" s="705"/>
      <c r="I6" s="705"/>
      <c r="J6" s="705"/>
      <c r="K6" s="705"/>
    </row>
    <row r="7" spans="2:13" ht="12.95" customHeight="1" x14ac:dyDescent="0.2">
      <c r="B7" s="484" t="s">
        <v>389</v>
      </c>
      <c r="C7" s="498">
        <v>0.06</v>
      </c>
      <c r="D7" s="498">
        <v>0.06</v>
      </c>
      <c r="E7" s="498">
        <v>0.06</v>
      </c>
      <c r="F7" s="487"/>
      <c r="G7" s="624" t="s">
        <v>426</v>
      </c>
      <c r="H7" s="703"/>
      <c r="I7" s="703"/>
      <c r="J7" s="703"/>
      <c r="K7" s="703"/>
    </row>
    <row r="8" spans="2:13" ht="12.95" customHeight="1" x14ac:dyDescent="0.2">
      <c r="B8" s="484" t="s">
        <v>260</v>
      </c>
      <c r="C8" s="488">
        <f>(GMO!J6*C5)*C7*(C6/12)</f>
        <v>2.390625</v>
      </c>
      <c r="D8" s="488">
        <f>(Heirloom!J6*D5)*D7*(D6/12)</f>
        <v>4.4624999999999995</v>
      </c>
      <c r="E8" s="488">
        <f>('Non-GMO'!J6*E5)*E7*(E6/12)</f>
        <v>4.8599999999999994</v>
      </c>
      <c r="F8" s="488"/>
      <c r="G8" s="705"/>
      <c r="H8" s="705"/>
      <c r="I8" s="705"/>
      <c r="J8" s="705"/>
      <c r="K8" s="705"/>
      <c r="M8" s="421"/>
    </row>
    <row r="9" spans="2:13" x14ac:dyDescent="0.2">
      <c r="B9" s="489"/>
      <c r="C9" s="461"/>
      <c r="D9" s="461"/>
      <c r="E9" s="490"/>
      <c r="F9" s="491"/>
      <c r="G9" s="491"/>
      <c r="H9" s="491"/>
      <c r="I9" s="491"/>
      <c r="J9" s="491"/>
      <c r="K9" s="491"/>
    </row>
    <row r="10" spans="2:13" ht="12.95" customHeight="1" x14ac:dyDescent="0.2">
      <c r="B10" s="343"/>
      <c r="C10" s="483" t="s">
        <v>428</v>
      </c>
      <c r="D10" s="483" t="s">
        <v>429</v>
      </c>
      <c r="E10" s="483" t="s">
        <v>430</v>
      </c>
    </row>
    <row r="11" spans="2:13" ht="12.95" customHeight="1" x14ac:dyDescent="0.2">
      <c r="B11" s="492"/>
      <c r="C11" s="493" t="s">
        <v>239</v>
      </c>
      <c r="D11" s="493" t="s">
        <v>239</v>
      </c>
      <c r="E11" s="494" t="s">
        <v>239</v>
      </c>
      <c r="G11" s="495" t="s">
        <v>450</v>
      </c>
    </row>
    <row r="12" spans="2:13" ht="12.95" customHeight="1" x14ac:dyDescent="0.2">
      <c r="B12" s="100" t="s">
        <v>299</v>
      </c>
      <c r="C12" s="499">
        <v>0.1</v>
      </c>
      <c r="D12" s="499">
        <v>0.1</v>
      </c>
      <c r="E12" s="499">
        <v>0.1</v>
      </c>
      <c r="G12" s="449" t="s">
        <v>297</v>
      </c>
    </row>
    <row r="13" spans="2:13" ht="12.95" customHeight="1" x14ac:dyDescent="0.2">
      <c r="B13" s="100" t="s">
        <v>319</v>
      </c>
      <c r="C13" s="488">
        <f>C8/(GMO!E6*C5)</f>
        <v>5.6250000000000001E-2</v>
      </c>
      <c r="D13" s="488">
        <f>D8/(Heirloom!E6*D5)</f>
        <v>0.10499999999999998</v>
      </c>
      <c r="E13" s="488">
        <f>E8/('Non-GMO'!E6*E5)</f>
        <v>5.9999999999999991E-2</v>
      </c>
    </row>
    <row r="14" spans="2:13" ht="12.95" customHeight="1" x14ac:dyDescent="0.2">
      <c r="B14" s="100" t="s">
        <v>300</v>
      </c>
      <c r="C14" s="499">
        <v>0.02</v>
      </c>
      <c r="D14" s="499">
        <v>0.02</v>
      </c>
      <c r="E14" s="499">
        <v>0.02</v>
      </c>
      <c r="G14" s="449" t="s">
        <v>301</v>
      </c>
    </row>
    <row r="15" spans="2:13" ht="12.95" customHeight="1" x14ac:dyDescent="0.2">
      <c r="B15" s="484" t="s">
        <v>261</v>
      </c>
      <c r="C15" s="499">
        <v>0.01</v>
      </c>
      <c r="D15" s="499">
        <v>0.01</v>
      </c>
      <c r="E15" s="499">
        <v>0.01</v>
      </c>
    </row>
    <row r="16" spans="2:13" ht="12.95" customHeight="1" x14ac:dyDescent="0.2">
      <c r="B16" s="484" t="s">
        <v>262</v>
      </c>
      <c r="C16" s="499">
        <v>0.02</v>
      </c>
      <c r="D16" s="499">
        <v>0.02</v>
      </c>
      <c r="E16" s="499">
        <v>0.02</v>
      </c>
    </row>
    <row r="17" spans="2:7" ht="12.95" customHeight="1" x14ac:dyDescent="0.2">
      <c r="B17" s="484" t="s">
        <v>237</v>
      </c>
      <c r="C17" s="499">
        <v>0.05</v>
      </c>
      <c r="D17" s="499">
        <v>0.05</v>
      </c>
      <c r="E17" s="499">
        <v>0.05</v>
      </c>
    </row>
    <row r="18" spans="2:7" ht="12.95" customHeight="1" x14ac:dyDescent="0.2">
      <c r="B18" s="100" t="s">
        <v>298</v>
      </c>
      <c r="C18" s="499">
        <v>0.03</v>
      </c>
      <c r="D18" s="499">
        <v>0.03</v>
      </c>
      <c r="E18" s="499">
        <v>0.03</v>
      </c>
      <c r="G18" s="449" t="s">
        <v>320</v>
      </c>
    </row>
    <row r="19" spans="2:7" ht="5.0999999999999996" customHeight="1" x14ac:dyDescent="0.2">
      <c r="B19" s="703"/>
      <c r="C19" s="703"/>
      <c r="D19" s="703"/>
      <c r="E19" s="703"/>
    </row>
    <row r="20" spans="2:7" ht="12.95" customHeight="1" x14ac:dyDescent="0.2">
      <c r="B20" s="702" t="s">
        <v>263</v>
      </c>
      <c r="C20" s="702"/>
      <c r="D20" s="702"/>
      <c r="E20" s="702"/>
    </row>
    <row r="21" spans="2:7" ht="12.95" customHeight="1" x14ac:dyDescent="0.2">
      <c r="B21" s="484" t="s">
        <v>264</v>
      </c>
      <c r="C21" s="488">
        <f>SUM(C12:C18)</f>
        <v>0.28625</v>
      </c>
      <c r="D21" s="488">
        <f>SUM(D12:D18)</f>
        <v>0.33499999999999996</v>
      </c>
      <c r="E21" s="488">
        <f>SUM(E12:E18)</f>
        <v>0.29000000000000004</v>
      </c>
    </row>
    <row r="22" spans="2:7" ht="12.95" customHeight="1" x14ac:dyDescent="0.2">
      <c r="B22" s="484" t="s">
        <v>265</v>
      </c>
      <c r="C22" s="488">
        <f>C21*(GMO!E6*C5)</f>
        <v>12.165625</v>
      </c>
      <c r="D22" s="488">
        <f>D21*(Heirloom!E6*D5)</f>
        <v>14.237499999999999</v>
      </c>
      <c r="E22" s="488">
        <f>E21*('Non-GMO'!E6*E5)</f>
        <v>23.490000000000002</v>
      </c>
    </row>
    <row r="23" spans="2:7" x14ac:dyDescent="0.2">
      <c r="B23" s="343"/>
      <c r="C23" s="496"/>
      <c r="D23" s="496"/>
    </row>
    <row r="38" spans="2:2" x14ac:dyDescent="0.2">
      <c r="B38" s="344"/>
    </row>
    <row r="39" spans="2:2" x14ac:dyDescent="0.2">
      <c r="B39" s="344"/>
    </row>
    <row r="40" spans="2:2" x14ac:dyDescent="0.2">
      <c r="B40" s="344"/>
    </row>
    <row r="41" spans="2:2" x14ac:dyDescent="0.2">
      <c r="B41" s="343"/>
    </row>
  </sheetData>
  <sheetProtection algorithmName="SHA-512" hashValue="LHQTF0zmhIDCbboLphpN26qqotOpVKjjbkIa1ck6BxuXH0oPboqlXJyjezyDQoFzuqG7QP+Qn5qZiR8RGEABlg==" saltValue="Ys4dOV+i4mpau0sEzVTsCA==" spinCount="100000" sheet="1" objects="1" scenarios="1" formatCells="0" formatColumns="0" formatRows="0"/>
  <mergeCells count="9">
    <mergeCell ref="B20:E20"/>
    <mergeCell ref="B19:E19"/>
    <mergeCell ref="B3:K3"/>
    <mergeCell ref="B2:K2"/>
    <mergeCell ref="G8:K8"/>
    <mergeCell ref="G7:K7"/>
    <mergeCell ref="G6:K6"/>
    <mergeCell ref="G5:K5"/>
    <mergeCell ref="G4:K4"/>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 id="{434B72B0-FD3F-4979-A42A-7C872CFF0A99}">
            <xm:f>GMO!$D$30=GMO!$C$66</xm:f>
            <x14:dxf>
              <font>
                <color theme="0"/>
              </font>
            </x14:dxf>
          </x14:cfRule>
          <xm:sqref>C5:C8 C12:C18 C21:C22</xm:sqref>
        </x14:conditionalFormatting>
        <x14:conditionalFormatting xmlns:xm="http://schemas.microsoft.com/office/excel/2006/main">
          <x14:cfRule type="expression" priority="2" id="{8D18A507-CB02-4F9E-9A8C-156F23334F74}">
            <xm:f>Heirloom!$D$30=Heirloom!$C$66</xm:f>
            <x14:dxf>
              <font>
                <color theme="0"/>
              </font>
            </x14:dxf>
          </x14:cfRule>
          <xm:sqref>D5:D8 D12:D18 D21:D22</xm:sqref>
        </x14:conditionalFormatting>
        <x14:conditionalFormatting xmlns:xm="http://schemas.microsoft.com/office/excel/2006/main">
          <x14:cfRule type="expression" priority="1" id="{E90DC6A4-E6F4-43DF-9947-82B36E374391}">
            <xm:f>'Non-GMO'!$D$30='Non-GMO'!$C$66</xm:f>
            <x14:dxf>
              <font>
                <color theme="0"/>
              </font>
            </x14:dxf>
          </x14:cfRule>
          <xm:sqref>E5:E8 E12:E18 E21:E22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7"/>
  <sheetViews>
    <sheetView showGridLines="0" workbookViewId="0">
      <selection activeCell="L48" sqref="L48"/>
    </sheetView>
  </sheetViews>
  <sheetFormatPr defaultRowHeight="12.75" x14ac:dyDescent="0.2"/>
  <cols>
    <col min="1" max="2" width="3.7109375" style="340" customWidth="1"/>
    <col min="3" max="4" width="20.7109375" style="340" customWidth="1"/>
    <col min="5" max="5" width="10.7109375" style="340" customWidth="1"/>
    <col min="6" max="6" width="13.7109375" style="340" customWidth="1"/>
    <col min="7" max="7" width="10.7109375" style="340" customWidth="1"/>
    <col min="8" max="8" width="13.7109375" style="340" customWidth="1"/>
    <col min="9" max="9" width="10.7109375" style="340" customWidth="1"/>
    <col min="10" max="10" width="13.7109375" style="340" customWidth="1"/>
    <col min="11" max="11" width="3.7109375" style="340" customWidth="1"/>
    <col min="12" max="20" width="10.7109375" style="340" customWidth="1"/>
    <col min="21" max="16384" width="9.140625" style="340"/>
  </cols>
  <sheetData>
    <row r="2" spans="2:16" ht="15.75" x14ac:dyDescent="0.25">
      <c r="B2" s="612" t="s">
        <v>445</v>
      </c>
      <c r="C2" s="612"/>
      <c r="D2" s="612"/>
      <c r="E2" s="612"/>
      <c r="F2" s="612"/>
      <c r="G2" s="612"/>
      <c r="H2" s="612"/>
      <c r="I2" s="612"/>
      <c r="J2" s="612"/>
    </row>
    <row r="3" spans="2:16" ht="5.0999999999999996" customHeight="1" x14ac:dyDescent="0.2">
      <c r="B3" s="704"/>
      <c r="C3" s="704"/>
      <c r="D3" s="704"/>
      <c r="E3" s="704"/>
      <c r="F3" s="704"/>
      <c r="G3" s="704"/>
      <c r="H3" s="704"/>
      <c r="I3" s="704"/>
      <c r="J3" s="704"/>
    </row>
    <row r="4" spans="2:16" ht="12.95" customHeight="1" x14ac:dyDescent="0.2">
      <c r="B4" s="727" t="s">
        <v>54</v>
      </c>
      <c r="C4" s="727"/>
      <c r="D4" s="727"/>
      <c r="E4" s="725" t="s">
        <v>428</v>
      </c>
      <c r="F4" s="726"/>
      <c r="G4" s="754" t="s">
        <v>429</v>
      </c>
      <c r="H4" s="726"/>
      <c r="I4" s="708" t="s">
        <v>430</v>
      </c>
      <c r="J4" s="709"/>
      <c r="O4" s="500"/>
    </row>
    <row r="5" spans="2:16" ht="12.95" customHeight="1" x14ac:dyDescent="0.2">
      <c r="B5" s="501"/>
      <c r="C5" s="762" t="s">
        <v>451</v>
      </c>
      <c r="D5" s="643"/>
      <c r="E5" s="761">
        <f>GMO!E6</f>
        <v>170</v>
      </c>
      <c r="F5" s="753"/>
      <c r="G5" s="752">
        <f>Heirloom!E6</f>
        <v>85</v>
      </c>
      <c r="H5" s="753"/>
      <c r="I5" s="764">
        <f>'Non-GMO'!E6</f>
        <v>162</v>
      </c>
      <c r="J5" s="765"/>
      <c r="O5" s="500"/>
    </row>
    <row r="6" spans="2:16" ht="12.95" customHeight="1" x14ac:dyDescent="0.2">
      <c r="B6" s="501"/>
      <c r="C6" s="762" t="s">
        <v>446</v>
      </c>
      <c r="D6" s="643"/>
      <c r="E6" s="759">
        <f>GMO!G6</f>
        <v>3.75</v>
      </c>
      <c r="F6" s="760"/>
      <c r="G6" s="750">
        <f>Heirloom!G6</f>
        <v>7</v>
      </c>
      <c r="H6" s="751"/>
      <c r="I6" s="750">
        <f>'Non-GMO'!G6</f>
        <v>4</v>
      </c>
      <c r="J6" s="763"/>
      <c r="O6" s="500"/>
    </row>
    <row r="7" spans="2:16" ht="4.5" customHeight="1" x14ac:dyDescent="0.2">
      <c r="B7" s="755"/>
      <c r="C7" s="756"/>
      <c r="D7" s="756"/>
      <c r="E7" s="756"/>
      <c r="F7" s="756"/>
      <c r="G7" s="756"/>
      <c r="H7" s="756"/>
      <c r="I7" s="756"/>
      <c r="J7" s="757"/>
      <c r="O7" s="500"/>
    </row>
    <row r="8" spans="2:16" ht="12.95" customHeight="1" x14ac:dyDescent="0.2">
      <c r="B8" s="502"/>
      <c r="C8" s="705" t="s">
        <v>34</v>
      </c>
      <c r="D8" s="705"/>
      <c r="E8" s="724">
        <f>GMO!J6</f>
        <v>637.5</v>
      </c>
      <c r="F8" s="758"/>
      <c r="G8" s="712">
        <f>Heirloom!J6</f>
        <v>595</v>
      </c>
      <c r="H8" s="713"/>
      <c r="I8" s="718">
        <f>'Non-GMO'!J6</f>
        <v>648</v>
      </c>
      <c r="J8" s="719"/>
      <c r="L8" s="503"/>
      <c r="O8" s="504"/>
      <c r="P8" s="505"/>
    </row>
    <row r="9" spans="2:16" ht="12.95" customHeight="1" x14ac:dyDescent="0.2">
      <c r="B9" s="502"/>
      <c r="C9" s="640" t="s">
        <v>168</v>
      </c>
      <c r="D9" s="640"/>
      <c r="E9" s="724">
        <f>GMO!J7</f>
        <v>0</v>
      </c>
      <c r="F9" s="713"/>
      <c r="G9" s="712">
        <f>Heirloom!J7</f>
        <v>0</v>
      </c>
      <c r="H9" s="713"/>
      <c r="I9" s="718">
        <f>'Non-GMO'!J7</f>
        <v>0</v>
      </c>
      <c r="J9" s="719"/>
    </row>
    <row r="10" spans="2:16" ht="12.95" customHeight="1" x14ac:dyDescent="0.2">
      <c r="B10" s="502"/>
      <c r="C10" s="640" t="s">
        <v>167</v>
      </c>
      <c r="D10" s="640"/>
      <c r="E10" s="736">
        <f>GMO!J8</f>
        <v>5</v>
      </c>
      <c r="F10" s="717"/>
      <c r="G10" s="716">
        <f>Heirloom!J8</f>
        <v>5</v>
      </c>
      <c r="H10" s="717"/>
      <c r="I10" s="741">
        <f>'Non-GMO'!J8</f>
        <v>5</v>
      </c>
      <c r="J10" s="742"/>
    </row>
    <row r="11" spans="2:16" ht="12.95" customHeight="1" x14ac:dyDescent="0.2">
      <c r="B11" s="727" t="s">
        <v>74</v>
      </c>
      <c r="C11" s="727"/>
      <c r="D11" s="727"/>
      <c r="E11" s="720">
        <f>SUM(E8:F10)</f>
        <v>642.5</v>
      </c>
      <c r="F11" s="711"/>
      <c r="G11" s="710">
        <f>SUM(G8:H10)</f>
        <v>600</v>
      </c>
      <c r="H11" s="711"/>
      <c r="I11" s="730">
        <f>SUM(I8:J10)</f>
        <v>653</v>
      </c>
      <c r="J11" s="731"/>
      <c r="L11" s="449"/>
    </row>
    <row r="12" spans="2:16" ht="5.0999999999999996" customHeight="1" x14ac:dyDescent="0.2">
      <c r="B12" s="704"/>
      <c r="C12" s="704"/>
      <c r="D12" s="704"/>
      <c r="E12" s="704"/>
      <c r="F12" s="704"/>
      <c r="G12" s="704"/>
      <c r="H12" s="704"/>
      <c r="I12" s="704"/>
      <c r="J12" s="704"/>
    </row>
    <row r="13" spans="2:16" ht="12.95" customHeight="1" x14ac:dyDescent="0.2">
      <c r="B13" s="727" t="s">
        <v>56</v>
      </c>
      <c r="C13" s="727"/>
      <c r="D13" s="727"/>
      <c r="E13" s="725" t="s">
        <v>428</v>
      </c>
      <c r="F13" s="726"/>
      <c r="G13" s="735" t="s">
        <v>429</v>
      </c>
      <c r="H13" s="726"/>
      <c r="I13" s="708" t="s">
        <v>430</v>
      </c>
      <c r="J13" s="709"/>
    </row>
    <row r="14" spans="2:16" ht="12.95" customHeight="1" x14ac:dyDescent="0.2">
      <c r="B14" s="502"/>
      <c r="C14" s="705" t="s">
        <v>57</v>
      </c>
      <c r="D14" s="705"/>
      <c r="E14" s="724">
        <f>GMO!J12</f>
        <v>85.5</v>
      </c>
      <c r="F14" s="713"/>
      <c r="G14" s="712">
        <f>Heirloom!J12</f>
        <v>57.5</v>
      </c>
      <c r="H14" s="713"/>
      <c r="I14" s="718">
        <f>'Non-GMO'!J12</f>
        <v>60.8</v>
      </c>
      <c r="J14" s="719"/>
      <c r="L14" s="449"/>
    </row>
    <row r="15" spans="2:16" ht="12.95" customHeight="1" x14ac:dyDescent="0.2">
      <c r="B15" s="502"/>
      <c r="C15" s="624" t="s">
        <v>461</v>
      </c>
      <c r="D15" s="703"/>
      <c r="E15" s="724">
        <f>GMO!J13</f>
        <v>68</v>
      </c>
      <c r="F15" s="713"/>
      <c r="G15" s="712">
        <f>Heirloom!J13</f>
        <v>40</v>
      </c>
      <c r="H15" s="713"/>
      <c r="I15" s="718">
        <f>'Non-GMO'!J13</f>
        <v>68</v>
      </c>
      <c r="J15" s="719"/>
      <c r="L15" s="449"/>
    </row>
    <row r="16" spans="2:16" ht="12.95" customHeight="1" x14ac:dyDescent="0.2">
      <c r="B16" s="502"/>
      <c r="C16" s="624" t="s">
        <v>462</v>
      </c>
      <c r="D16" s="703"/>
      <c r="E16" s="724">
        <f>SUM(GMO!J14:J17)</f>
        <v>48.5</v>
      </c>
      <c r="F16" s="713"/>
      <c r="G16" s="712">
        <f>SUM(Heirloom!J14:J17)</f>
        <v>38</v>
      </c>
      <c r="H16" s="713"/>
      <c r="I16" s="718">
        <f>SUM('Non-GMO'!J14:J17)</f>
        <v>48.5</v>
      </c>
      <c r="J16" s="719"/>
      <c r="L16" s="449"/>
    </row>
    <row r="17" spans="2:17" ht="12.95" customHeight="1" x14ac:dyDescent="0.2">
      <c r="B17" s="502"/>
      <c r="C17" s="703" t="s">
        <v>334</v>
      </c>
      <c r="D17" s="703"/>
      <c r="E17" s="724">
        <f>SUM(GMO!J18:J20)</f>
        <v>70</v>
      </c>
      <c r="F17" s="713"/>
      <c r="G17" s="712">
        <f>SUM(Heirloom!J18:J20)</f>
        <v>80</v>
      </c>
      <c r="H17" s="713"/>
      <c r="I17" s="718">
        <f>SUM('Non-GMO'!J18:J20)</f>
        <v>80</v>
      </c>
      <c r="J17" s="719"/>
    </row>
    <row r="18" spans="2:17" ht="12.95" customHeight="1" x14ac:dyDescent="0.2">
      <c r="B18" s="502"/>
      <c r="C18" s="703" t="s">
        <v>335</v>
      </c>
      <c r="D18" s="703"/>
      <c r="E18" s="724">
        <f>SUM(GMO!J21:J22,GMO!J25,GMO!J28)</f>
        <v>41.497179869867423</v>
      </c>
      <c r="F18" s="713"/>
      <c r="G18" s="712">
        <f>SUM(Heirloom!J21:J22,Heirloom!J25,Heirloom!J28)</f>
        <v>41.176495119568941</v>
      </c>
      <c r="H18" s="713"/>
      <c r="I18" s="718">
        <f>SUM('Non-GMO'!J21:J22,'Non-GMO'!J25,'Non-GMO'!J28)</f>
        <v>45.036112687701568</v>
      </c>
      <c r="J18" s="719"/>
      <c r="L18" s="449" t="s">
        <v>354</v>
      </c>
      <c r="Q18" s="421"/>
    </row>
    <row r="19" spans="2:17" ht="12.95" customHeight="1" x14ac:dyDescent="0.2">
      <c r="B19" s="502"/>
      <c r="C19" s="703" t="s">
        <v>336</v>
      </c>
      <c r="D19" s="703"/>
      <c r="E19" s="724">
        <f>SUM(GMO!J23:J24)</f>
        <v>26.3264342556798</v>
      </c>
      <c r="F19" s="713"/>
      <c r="G19" s="712">
        <f>SUM(Heirloom!J23:J24)</f>
        <v>26.475557062697341</v>
      </c>
      <c r="H19" s="713"/>
      <c r="I19" s="718">
        <f>SUM('Non-GMO'!J23:J24)</f>
        <v>28.901872852171024</v>
      </c>
      <c r="J19" s="719"/>
      <c r="L19" s="449" t="s">
        <v>353</v>
      </c>
      <c r="O19" s="343"/>
    </row>
    <row r="20" spans="2:17" ht="12.95" customHeight="1" x14ac:dyDescent="0.2">
      <c r="B20" s="502"/>
      <c r="C20" s="624" t="s">
        <v>291</v>
      </c>
      <c r="D20" s="624"/>
      <c r="E20" s="724">
        <f>SUM(GMO!J26:J27)</f>
        <v>0</v>
      </c>
      <c r="F20" s="713"/>
      <c r="G20" s="712">
        <f>SUM(Heirloom!J26:J27)</f>
        <v>0</v>
      </c>
      <c r="H20" s="713"/>
      <c r="I20" s="718">
        <f>SUM('Non-GMO'!J26:J27)</f>
        <v>0</v>
      </c>
      <c r="J20" s="719"/>
    </row>
    <row r="21" spans="2:17" ht="12.95" customHeight="1" x14ac:dyDescent="0.2">
      <c r="B21" s="502"/>
      <c r="C21" s="703" t="s">
        <v>158</v>
      </c>
      <c r="D21" s="703"/>
      <c r="E21" s="723">
        <f>GMO!J29</f>
        <v>14.247247706422019</v>
      </c>
      <c r="F21" s="715"/>
      <c r="G21" s="714">
        <f>Heirloom!J29</f>
        <v>7.1236238532110097</v>
      </c>
      <c r="H21" s="715"/>
      <c r="I21" s="706">
        <f>'Non-GMO'!J29</f>
        <v>13.576788990825689</v>
      </c>
      <c r="J21" s="707"/>
    </row>
    <row r="22" spans="2:17" ht="12.95" customHeight="1" x14ac:dyDescent="0.2">
      <c r="B22" s="502"/>
      <c r="C22" s="703" t="s">
        <v>224</v>
      </c>
      <c r="D22" s="703"/>
      <c r="E22" s="723">
        <f>GMO!J30</f>
        <v>12.165625</v>
      </c>
      <c r="F22" s="715"/>
      <c r="G22" s="714">
        <f>Heirloom!J30</f>
        <v>8.5</v>
      </c>
      <c r="H22" s="715"/>
      <c r="I22" s="706">
        <f>'Non-GMO'!J30</f>
        <v>16.2</v>
      </c>
      <c r="J22" s="707"/>
    </row>
    <row r="23" spans="2:17" ht="12.95" customHeight="1" x14ac:dyDescent="0.2">
      <c r="B23" s="502"/>
      <c r="C23" s="703" t="s">
        <v>337</v>
      </c>
      <c r="D23" s="703"/>
      <c r="E23" s="723">
        <f>GMO!J31</f>
        <v>20</v>
      </c>
      <c r="F23" s="715"/>
      <c r="G23" s="714">
        <f>Heirloom!J31</f>
        <v>20</v>
      </c>
      <c r="H23" s="715"/>
      <c r="I23" s="706">
        <f>'Non-GMO'!J31</f>
        <v>20</v>
      </c>
      <c r="J23" s="707"/>
    </row>
    <row r="24" spans="2:17" ht="12.95" customHeight="1" x14ac:dyDescent="0.2">
      <c r="B24" s="502"/>
      <c r="C24" s="703" t="s">
        <v>251</v>
      </c>
      <c r="D24" s="703"/>
      <c r="E24" s="723">
        <f>GMO!J32</f>
        <v>140</v>
      </c>
      <c r="F24" s="715"/>
      <c r="G24" s="714">
        <f>Heirloom!J32</f>
        <v>140</v>
      </c>
      <c r="H24" s="715"/>
      <c r="I24" s="706">
        <f>'Non-GMO'!J32</f>
        <v>140</v>
      </c>
      <c r="J24" s="707"/>
    </row>
    <row r="25" spans="2:17" ht="12.95" customHeight="1" x14ac:dyDescent="0.2">
      <c r="B25" s="502"/>
      <c r="C25" s="624" t="s">
        <v>349</v>
      </c>
      <c r="D25" s="624"/>
      <c r="E25" s="723">
        <f>GMO!J33</f>
        <v>0</v>
      </c>
      <c r="F25" s="715"/>
      <c r="G25" s="714">
        <f>Heirloom!J33</f>
        <v>0</v>
      </c>
      <c r="H25" s="715"/>
      <c r="I25" s="706">
        <f>'Non-GMO'!J33</f>
        <v>0</v>
      </c>
      <c r="J25" s="707"/>
    </row>
    <row r="26" spans="2:17" ht="12.95" customHeight="1" x14ac:dyDescent="0.2">
      <c r="B26" s="502"/>
      <c r="C26" s="703" t="s">
        <v>160</v>
      </c>
      <c r="D26" s="703"/>
      <c r="E26" s="723">
        <f>GMO!J34</f>
        <v>10</v>
      </c>
      <c r="F26" s="715"/>
      <c r="G26" s="714">
        <f>Heirloom!J34</f>
        <v>10</v>
      </c>
      <c r="H26" s="715"/>
      <c r="I26" s="706">
        <f>'Non-GMO'!J34</f>
        <v>10</v>
      </c>
      <c r="J26" s="707"/>
    </row>
    <row r="27" spans="2:17" ht="12.95" customHeight="1" x14ac:dyDescent="0.2">
      <c r="B27" s="502"/>
      <c r="C27" s="703" t="s">
        <v>61</v>
      </c>
      <c r="D27" s="703"/>
      <c r="E27" s="721">
        <f>GMO!J35</f>
        <v>14.287983112990036</v>
      </c>
      <c r="F27" s="722"/>
      <c r="G27" s="748">
        <f>Heirloom!J35</f>
        <v>12.592983112990037</v>
      </c>
      <c r="H27" s="722"/>
      <c r="I27" s="732">
        <f>'Non-GMO'!J35</f>
        <v>13.84698311299004</v>
      </c>
      <c r="J27" s="733"/>
    </row>
    <row r="28" spans="2:17" ht="12.95" customHeight="1" x14ac:dyDescent="0.2">
      <c r="B28" s="727" t="s">
        <v>63</v>
      </c>
      <c r="C28" s="727"/>
      <c r="D28" s="727"/>
      <c r="E28" s="720">
        <f>SUM(E14:F27)</f>
        <v>550.52446994495915</v>
      </c>
      <c r="F28" s="711"/>
      <c r="G28" s="710">
        <f>SUM(G14:H27)</f>
        <v>481.36865914846737</v>
      </c>
      <c r="H28" s="711"/>
      <c r="I28" s="730">
        <f>SUM(I14:J27)</f>
        <v>544.86175764368841</v>
      </c>
      <c r="J28" s="731"/>
    </row>
    <row r="29" spans="2:17" ht="5.0999999999999996" customHeight="1" x14ac:dyDescent="0.2">
      <c r="B29" s="704"/>
      <c r="C29" s="704"/>
      <c r="D29" s="704"/>
      <c r="E29" s="704"/>
      <c r="F29" s="704"/>
      <c r="G29" s="704"/>
      <c r="H29" s="704"/>
      <c r="I29" s="704"/>
      <c r="J29" s="704"/>
    </row>
    <row r="30" spans="2:17" ht="15.75" x14ac:dyDescent="0.25">
      <c r="B30" s="728" t="s">
        <v>64</v>
      </c>
      <c r="C30" s="729"/>
      <c r="D30" s="729"/>
      <c r="E30" s="745">
        <f>E11-E28</f>
        <v>91.975530055040849</v>
      </c>
      <c r="F30" s="746"/>
      <c r="G30" s="734">
        <f>G11-G28</f>
        <v>118.63134085153263</v>
      </c>
      <c r="H30" s="734"/>
      <c r="I30" s="743">
        <f>I11-I28</f>
        <v>108.13824235631159</v>
      </c>
      <c r="J30" s="744"/>
    </row>
    <row r="31" spans="2:17" ht="12.95" customHeight="1" x14ac:dyDescent="0.2">
      <c r="B31" s="704"/>
      <c r="C31" s="704"/>
      <c r="D31" s="704"/>
      <c r="E31" s="704"/>
      <c r="F31" s="704"/>
      <c r="G31" s="704"/>
      <c r="H31" s="704"/>
      <c r="I31" s="704"/>
      <c r="J31" s="704"/>
    </row>
    <row r="32" spans="2:17" ht="12.95" customHeight="1" x14ac:dyDescent="0.2">
      <c r="B32" s="506" t="s">
        <v>65</v>
      </c>
      <c r="C32" s="506"/>
      <c r="D32" s="506"/>
      <c r="E32" s="725" t="s">
        <v>428</v>
      </c>
      <c r="F32" s="726"/>
      <c r="G32" s="735" t="s">
        <v>429</v>
      </c>
      <c r="H32" s="726"/>
      <c r="I32" s="708" t="s">
        <v>430</v>
      </c>
      <c r="J32" s="709"/>
    </row>
    <row r="33" spans="2:13" ht="12.95" customHeight="1" x14ac:dyDescent="0.2">
      <c r="B33" s="502"/>
      <c r="C33" s="703" t="s">
        <v>338</v>
      </c>
      <c r="D33" s="703"/>
      <c r="E33" s="723">
        <f>GMO!J41</f>
        <v>0</v>
      </c>
      <c r="F33" s="715"/>
      <c r="G33" s="714">
        <f>Heirloom!J41</f>
        <v>0</v>
      </c>
      <c r="H33" s="715"/>
      <c r="I33" s="706">
        <f>'Non-GMO'!J41</f>
        <v>0</v>
      </c>
      <c r="J33" s="707"/>
    </row>
    <row r="34" spans="2:13" ht="12.95" customHeight="1" x14ac:dyDescent="0.2">
      <c r="B34" s="502"/>
      <c r="C34" s="624" t="s">
        <v>339</v>
      </c>
      <c r="D34" s="624"/>
      <c r="E34" s="723">
        <f>GMO!J42</f>
        <v>59.467590112875563</v>
      </c>
      <c r="F34" s="715"/>
      <c r="G34" s="714">
        <f>Heirloom!J42</f>
        <v>55.52620983037162</v>
      </c>
      <c r="H34" s="715"/>
      <c r="I34" s="706">
        <f>'Non-GMO'!J42</f>
        <v>60.691459294857808</v>
      </c>
      <c r="J34" s="707"/>
    </row>
    <row r="35" spans="2:13" ht="12.95" customHeight="1" x14ac:dyDescent="0.2">
      <c r="B35" s="502"/>
      <c r="C35" s="705" t="s">
        <v>159</v>
      </c>
      <c r="D35" s="705"/>
      <c r="E35" s="736">
        <f>SUM(GMO!J43:J44)</f>
        <v>15</v>
      </c>
      <c r="F35" s="717"/>
      <c r="G35" s="716">
        <f>SUM(Heirloom!J43:J44)</f>
        <v>15</v>
      </c>
      <c r="H35" s="717"/>
      <c r="I35" s="741">
        <f>SUM('Non-GMO'!J43:J44)</f>
        <v>15</v>
      </c>
      <c r="J35" s="742"/>
    </row>
    <row r="36" spans="2:13" ht="15.75" x14ac:dyDescent="0.25">
      <c r="B36" s="728" t="s">
        <v>66</v>
      </c>
      <c r="C36" s="729"/>
      <c r="D36" s="729"/>
      <c r="E36" s="745">
        <f>E30-(SUM(E33:F35))</f>
        <v>17.507939942165279</v>
      </c>
      <c r="F36" s="746"/>
      <c r="G36" s="747">
        <f>G30-(SUM(G33:H35))</f>
        <v>48.105131021161014</v>
      </c>
      <c r="H36" s="746"/>
      <c r="I36" s="749">
        <f>I30-(SUM(I33:J35))</f>
        <v>32.446783061453786</v>
      </c>
      <c r="J36" s="744"/>
    </row>
    <row r="37" spans="2:13" ht="12.95" customHeight="1" x14ac:dyDescent="0.2">
      <c r="B37" s="704"/>
      <c r="C37" s="704"/>
      <c r="D37" s="704"/>
      <c r="E37" s="704"/>
      <c r="F37" s="704"/>
      <c r="G37" s="704"/>
      <c r="H37" s="704"/>
      <c r="I37" s="704"/>
      <c r="J37" s="704"/>
      <c r="K37" s="490"/>
      <c r="L37" s="490"/>
      <c r="M37" s="490"/>
    </row>
    <row r="38" spans="2:13" ht="15.75" x14ac:dyDescent="0.25">
      <c r="B38" s="739" t="s">
        <v>447</v>
      </c>
      <c r="C38" s="739"/>
      <c r="D38" s="739"/>
      <c r="E38" s="507">
        <f>GMO!E47</f>
        <v>146.80652531865579</v>
      </c>
      <c r="F38" s="508" t="str">
        <f>"at " &amp; TEXT(GMO!G6,"$0.00") &amp;" /bu"</f>
        <v>at $3.75 /bu</v>
      </c>
      <c r="G38" s="509">
        <f>Heirloom!E47</f>
        <v>68.766951306923914</v>
      </c>
      <c r="H38" s="508" t="str">
        <f>"at "&amp;TEXT(Heirloom!G6,"$0.00")&amp;"/bu"</f>
        <v>at $7.00/bu</v>
      </c>
      <c r="I38" s="509">
        <f>'Non-GMO'!E47</f>
        <v>136.2154394109221</v>
      </c>
      <c r="J38" s="510" t="str">
        <f>"at "&amp;TEXT('Non-GMO'!G6,"$0.00")&amp;"/bu"</f>
        <v>at $4.00/bu</v>
      </c>
      <c r="K38" s="491"/>
      <c r="L38" s="511" t="s">
        <v>442</v>
      </c>
      <c r="M38" s="490"/>
    </row>
    <row r="39" spans="2:13" ht="15.75" x14ac:dyDescent="0.25">
      <c r="B39" s="739" t="s">
        <v>448</v>
      </c>
      <c r="C39" s="739"/>
      <c r="D39" s="739"/>
      <c r="E39" s="512">
        <f>GMO!E48</f>
        <v>3.2383792349703477</v>
      </c>
      <c r="F39" s="513" t="str">
        <f>"at " &amp;GMO!E6&amp;" bu/acre"</f>
        <v>at 170 bu/acre</v>
      </c>
      <c r="G39" s="514">
        <f>Heirloom!E48</f>
        <v>5.6631606958643221</v>
      </c>
      <c r="H39" s="513" t="str">
        <f>"at " &amp;Heirloom!E6&amp;" bu/acre"</f>
        <v>at 85 bu/acre</v>
      </c>
      <c r="I39" s="514">
        <f>'Non-GMO'!E48</f>
        <v>3.3633441829857311</v>
      </c>
      <c r="J39" s="515" t="str">
        <f>"at " &amp;'Non-GMO'!E6&amp;" bu/acre"</f>
        <v>at 162 bu/acre</v>
      </c>
      <c r="K39" s="491"/>
      <c r="L39" s="511" t="s">
        <v>443</v>
      </c>
      <c r="M39" s="490"/>
    </row>
    <row r="40" spans="2:13" ht="15.75" x14ac:dyDescent="0.25">
      <c r="B40" s="739" t="s">
        <v>449</v>
      </c>
      <c r="C40" s="739"/>
      <c r="D40" s="739"/>
      <c r="E40" s="512">
        <f>GMO!E49</f>
        <v>3.6764238826931455</v>
      </c>
      <c r="F40" s="513" t="str">
        <f>"at " &amp;GMO!E6&amp;" bu/acre"</f>
        <v>at 170 bu/acre</v>
      </c>
      <c r="G40" s="514">
        <f>Heirloom!E49</f>
        <v>6.4928808115157528</v>
      </c>
      <c r="H40" s="513" t="str">
        <f>"at " &amp;Heirloom!E6&amp;" bu/acre"</f>
        <v>at 85 bu/acre</v>
      </c>
      <c r="I40" s="514">
        <f>'Non-GMO'!E49</f>
        <v>3.8305754132009029</v>
      </c>
      <c r="J40" s="515" t="str">
        <f>"at " &amp;'Non-GMO'!E6&amp;" bu/acre"</f>
        <v>at 162 bu/acre</v>
      </c>
      <c r="K40" s="491"/>
      <c r="L40" s="511" t="s">
        <v>444</v>
      </c>
      <c r="M40" s="490"/>
    </row>
    <row r="41" spans="2:13" x14ac:dyDescent="0.2">
      <c r="B41" s="738"/>
      <c r="C41" s="738"/>
      <c r="D41" s="738"/>
      <c r="E41" s="738"/>
      <c r="F41" s="738"/>
      <c r="G41" s="516"/>
      <c r="H41" s="516"/>
      <c r="I41" s="516"/>
      <c r="J41" s="516"/>
      <c r="K41" s="490"/>
      <c r="L41" s="490"/>
      <c r="M41" s="490"/>
    </row>
    <row r="42" spans="2:13" x14ac:dyDescent="0.2">
      <c r="B42" s="740"/>
      <c r="C42" s="740"/>
      <c r="D42" s="740"/>
      <c r="E42" s="740"/>
      <c r="F42" s="740"/>
      <c r="G42" s="517"/>
      <c r="H42" s="517"/>
      <c r="I42" s="517"/>
      <c r="J42" s="517"/>
      <c r="K42" s="490"/>
      <c r="L42" s="490"/>
      <c r="M42" s="490"/>
    </row>
    <row r="43" spans="2:13" ht="14.25" x14ac:dyDescent="0.2">
      <c r="B43" s="737"/>
      <c r="C43" s="738"/>
      <c r="D43" s="738"/>
      <c r="E43" s="738"/>
      <c r="F43" s="738"/>
      <c r="G43" s="516"/>
      <c r="H43" s="516"/>
      <c r="I43" s="516"/>
      <c r="J43" s="516"/>
    </row>
    <row r="44" spans="2:13" ht="15.75" x14ac:dyDescent="0.25">
      <c r="B44" s="737"/>
      <c r="C44" s="738"/>
      <c r="D44" s="738"/>
      <c r="E44" s="738"/>
      <c r="F44" s="738"/>
      <c r="G44" s="518"/>
      <c r="H44" s="519"/>
      <c r="I44" s="516"/>
      <c r="J44" s="516"/>
    </row>
    <row r="45" spans="2:13" ht="15.75" x14ac:dyDescent="0.25">
      <c r="B45" s="737"/>
      <c r="C45" s="738"/>
      <c r="D45" s="738"/>
      <c r="E45" s="738"/>
      <c r="F45" s="738"/>
      <c r="G45" s="518"/>
      <c r="H45" s="520"/>
      <c r="I45" s="516"/>
      <c r="J45" s="516"/>
    </row>
    <row r="46" spans="2:13" ht="15.75" x14ac:dyDescent="0.25">
      <c r="B46" s="737"/>
      <c r="C46" s="738"/>
      <c r="D46" s="738"/>
      <c r="E46" s="738"/>
      <c r="F46" s="738"/>
      <c r="G46" s="518"/>
      <c r="H46" s="520"/>
      <c r="I46" s="516"/>
      <c r="J46" s="516"/>
    </row>
    <row r="47" spans="2:13" x14ac:dyDescent="0.2">
      <c r="G47" s="489"/>
      <c r="H47" s="489"/>
    </row>
  </sheetData>
  <sheetProtection algorithmName="SHA-512" hashValue="cmUu7jrss3q05UOgmzHsuEmhPFysGXfahX2HiVv/H0d3wJnLl2Hkj+sQQ5HZPYeEFhwPDopua5ijf3pexxzH2A==" saltValue="nXLmcif60PrADQCzpJQmUA==" spinCount="100000" sheet="1" objects="1" scenarios="1" formatCells="0" formatColumns="0" formatRows="0"/>
  <mergeCells count="131">
    <mergeCell ref="B2:J2"/>
    <mergeCell ref="B3:J3"/>
    <mergeCell ref="C8:D8"/>
    <mergeCell ref="B13:D13"/>
    <mergeCell ref="B4:D4"/>
    <mergeCell ref="I8:J8"/>
    <mergeCell ref="I4:J4"/>
    <mergeCell ref="G8:H8"/>
    <mergeCell ref="G6:H6"/>
    <mergeCell ref="G5:H5"/>
    <mergeCell ref="G4:H4"/>
    <mergeCell ref="B7:J7"/>
    <mergeCell ref="E8:F8"/>
    <mergeCell ref="E6:F6"/>
    <mergeCell ref="E5:F5"/>
    <mergeCell ref="E4:F4"/>
    <mergeCell ref="C6:D6"/>
    <mergeCell ref="C5:D5"/>
    <mergeCell ref="I6:J6"/>
    <mergeCell ref="I5:J5"/>
    <mergeCell ref="G9:H9"/>
    <mergeCell ref="C9:D9"/>
    <mergeCell ref="I9:J9"/>
    <mergeCell ref="C35:D35"/>
    <mergeCell ref="B36:D36"/>
    <mergeCell ref="C23:D23"/>
    <mergeCell ref="C25:D25"/>
    <mergeCell ref="I14:J14"/>
    <mergeCell ref="I11:J11"/>
    <mergeCell ref="I10:J10"/>
    <mergeCell ref="I24:J24"/>
    <mergeCell ref="I23:J23"/>
    <mergeCell ref="I22:J22"/>
    <mergeCell ref="I21:J21"/>
    <mergeCell ref="I20:J20"/>
    <mergeCell ref="I19:J19"/>
    <mergeCell ref="I18:J18"/>
    <mergeCell ref="I17:J17"/>
    <mergeCell ref="I15:J15"/>
    <mergeCell ref="G28:H28"/>
    <mergeCell ref="G27:H27"/>
    <mergeCell ref="G26:H26"/>
    <mergeCell ref="G25:H25"/>
    <mergeCell ref="G24:H24"/>
    <mergeCell ref="G23:H23"/>
    <mergeCell ref="E16:F16"/>
    <mergeCell ref="I36:J36"/>
    <mergeCell ref="I35:J35"/>
    <mergeCell ref="I34:J34"/>
    <mergeCell ref="I33:J33"/>
    <mergeCell ref="I30:J30"/>
    <mergeCell ref="B38:D38"/>
    <mergeCell ref="C24:D24"/>
    <mergeCell ref="E36:F36"/>
    <mergeCell ref="E35:F35"/>
    <mergeCell ref="E34:F34"/>
    <mergeCell ref="E33:F33"/>
    <mergeCell ref="G36:H36"/>
    <mergeCell ref="G35:H35"/>
    <mergeCell ref="G34:H34"/>
    <mergeCell ref="G33:H33"/>
    <mergeCell ref="G32:H32"/>
    <mergeCell ref="B31:J31"/>
    <mergeCell ref="I32:J32"/>
    <mergeCell ref="I25:J25"/>
    <mergeCell ref="E25:F25"/>
    <mergeCell ref="E24:F24"/>
    <mergeCell ref="C34:D34"/>
    <mergeCell ref="C33:D33"/>
    <mergeCell ref="E32:F32"/>
    <mergeCell ref="E30:F30"/>
    <mergeCell ref="B46:F46"/>
    <mergeCell ref="B39:D39"/>
    <mergeCell ref="B42:F42"/>
    <mergeCell ref="B43:F43"/>
    <mergeCell ref="B44:F44"/>
    <mergeCell ref="B45:F45"/>
    <mergeCell ref="B41:F41"/>
    <mergeCell ref="B40:D40"/>
    <mergeCell ref="B37:J37"/>
    <mergeCell ref="E9:F9"/>
    <mergeCell ref="C10:D10"/>
    <mergeCell ref="B11:D11"/>
    <mergeCell ref="C17:D17"/>
    <mergeCell ref="C18:D18"/>
    <mergeCell ref="C14:D14"/>
    <mergeCell ref="C15:D15"/>
    <mergeCell ref="C19:D19"/>
    <mergeCell ref="C20:D20"/>
    <mergeCell ref="E11:F11"/>
    <mergeCell ref="E10:F10"/>
    <mergeCell ref="E15:F15"/>
    <mergeCell ref="B12:J12"/>
    <mergeCell ref="E28:F28"/>
    <mergeCell ref="E27:F27"/>
    <mergeCell ref="E26:F26"/>
    <mergeCell ref="E14:F14"/>
    <mergeCell ref="E13:F13"/>
    <mergeCell ref="B28:D28"/>
    <mergeCell ref="C27:D27"/>
    <mergeCell ref="B30:D30"/>
    <mergeCell ref="B29:J29"/>
    <mergeCell ref="I28:J28"/>
    <mergeCell ref="I27:J27"/>
    <mergeCell ref="G30:H30"/>
    <mergeCell ref="G18:H18"/>
    <mergeCell ref="G17:H17"/>
    <mergeCell ref="G15:H15"/>
    <mergeCell ref="C21:D21"/>
    <mergeCell ref="C22:D22"/>
    <mergeCell ref="G14:H14"/>
    <mergeCell ref="G13:H13"/>
    <mergeCell ref="G20:H20"/>
    <mergeCell ref="E20:F20"/>
    <mergeCell ref="E19:F19"/>
    <mergeCell ref="E18:F18"/>
    <mergeCell ref="E17:F17"/>
    <mergeCell ref="C26:D26"/>
    <mergeCell ref="I26:J26"/>
    <mergeCell ref="I13:J13"/>
    <mergeCell ref="G11:H11"/>
    <mergeCell ref="G19:H19"/>
    <mergeCell ref="G22:H22"/>
    <mergeCell ref="G21:H21"/>
    <mergeCell ref="G10:H10"/>
    <mergeCell ref="G16:H16"/>
    <mergeCell ref="I16:J16"/>
    <mergeCell ref="C16:D16"/>
    <mergeCell ref="E23:F23"/>
    <mergeCell ref="E22:F22"/>
    <mergeCell ref="E21:F21"/>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18" id="{AE26CBF1-CD4B-42B5-85E7-3E38CFCC24FA}">
            <xm:f>GMO!$C$87=GMO!$C$84</xm:f>
            <x14:dxf>
              <font>
                <color theme="0"/>
              </font>
            </x14:dxf>
          </x14:cfRule>
          <xm:sqref>E20</xm:sqref>
        </x14:conditionalFormatting>
        <x14:conditionalFormatting xmlns:xm="http://schemas.microsoft.com/office/excel/2006/main">
          <x14:cfRule type="expression" priority="2" id="{205E6E7F-4848-499B-9F05-955B02B769B4}">
            <xm:f>Heirloom!$C$87=Heirloom!$C$84</xm:f>
            <x14:dxf>
              <font>
                <color theme="0"/>
              </font>
            </x14:dxf>
          </x14:cfRule>
          <xm:sqref>G20</xm:sqref>
        </x14:conditionalFormatting>
        <x14:conditionalFormatting xmlns:xm="http://schemas.microsoft.com/office/excel/2006/main">
          <x14:cfRule type="expression" priority="1" id="{27D54F01-9CEE-4616-BC3B-E1FA238800F3}">
            <xm:f>'Non-GMO'!$C$87='Non-GMO'!$C$84</xm:f>
            <x14:dxf>
              <font>
                <color theme="0"/>
              </font>
            </x14:dxf>
          </x14:cfRule>
          <xm:sqref>I20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2"/>
  <sheetViews>
    <sheetView showGridLines="0" workbookViewId="0">
      <selection activeCell="S34" sqref="S34"/>
    </sheetView>
  </sheetViews>
  <sheetFormatPr defaultRowHeight="12.75" x14ac:dyDescent="0.2"/>
  <cols>
    <col min="1" max="2" width="3.7109375" customWidth="1"/>
    <col min="3" max="6" width="10.7109375" customWidth="1"/>
    <col min="7" max="7" width="20.7109375" customWidth="1"/>
    <col min="8" max="8" width="3.7109375" customWidth="1"/>
    <col min="9" max="17" width="10.7109375" customWidth="1"/>
  </cols>
  <sheetData>
    <row r="2" spans="2:14" ht="15.75" x14ac:dyDescent="0.25">
      <c r="B2" s="767" t="str">
        <f>GMO!B2</f>
        <v>No-Till GMO Corn, Per Acre Costs and Returns</v>
      </c>
      <c r="C2" s="768"/>
      <c r="D2" s="768"/>
      <c r="E2" s="768"/>
      <c r="F2" s="768"/>
      <c r="G2" s="768"/>
    </row>
    <row r="3" spans="2:14" ht="5.0999999999999996" customHeight="1" x14ac:dyDescent="0.2">
      <c r="B3" s="766"/>
      <c r="C3" s="766"/>
      <c r="D3" s="766"/>
      <c r="E3" s="766"/>
      <c r="F3" s="766"/>
      <c r="G3" s="766"/>
    </row>
    <row r="4" spans="2:14" ht="12.95" customHeight="1" x14ac:dyDescent="0.2">
      <c r="B4" s="83" t="s">
        <v>54</v>
      </c>
      <c r="C4" s="170"/>
      <c r="D4" s="170"/>
      <c r="E4" s="170"/>
      <c r="F4" s="170"/>
      <c r="G4" s="160" t="s">
        <v>5</v>
      </c>
      <c r="L4" s="164"/>
    </row>
    <row r="5" spans="2:14" ht="12.95" customHeight="1" x14ac:dyDescent="0.2">
      <c r="B5" s="4"/>
      <c r="C5" s="314" t="s">
        <v>34</v>
      </c>
      <c r="D5" s="37">
        <f>GMO!E6</f>
        <v>170</v>
      </c>
      <c r="E5" s="318" t="str">
        <f>GMO!F6</f>
        <v>bu</v>
      </c>
      <c r="F5" s="315">
        <f>GMO!G6</f>
        <v>3.75</v>
      </c>
      <c r="G5" s="5">
        <f>GMO!J6</f>
        <v>637.5</v>
      </c>
      <c r="I5" s="163"/>
      <c r="L5" s="165"/>
      <c r="M5" s="313"/>
    </row>
    <row r="6" spans="2:14" ht="12.95" customHeight="1" x14ac:dyDescent="0.2">
      <c r="B6" s="4"/>
      <c r="C6" s="670" t="s">
        <v>168</v>
      </c>
      <c r="D6" s="670"/>
      <c r="E6" s="670"/>
      <c r="F6" s="670"/>
      <c r="G6" s="5">
        <f>GMO!J7</f>
        <v>0</v>
      </c>
    </row>
    <row r="7" spans="2:14" ht="12.95" customHeight="1" x14ac:dyDescent="0.2">
      <c r="B7" s="4"/>
      <c r="C7" s="670" t="s">
        <v>167</v>
      </c>
      <c r="D7" s="670"/>
      <c r="E7" s="670"/>
      <c r="F7" s="670"/>
      <c r="G7" s="22">
        <f>GMO!J8</f>
        <v>5</v>
      </c>
    </row>
    <row r="8" spans="2:14" ht="12.95" customHeight="1" x14ac:dyDescent="0.2">
      <c r="B8" s="769" t="s">
        <v>74</v>
      </c>
      <c r="C8" s="769"/>
      <c r="D8" s="769"/>
      <c r="E8" s="769"/>
      <c r="F8" s="769"/>
      <c r="G8" s="35">
        <f>SUM(G5:G7)</f>
        <v>642.5</v>
      </c>
      <c r="I8" s="86"/>
    </row>
    <row r="9" spans="2:14" ht="5.0999999999999996" customHeight="1" x14ac:dyDescent="0.2">
      <c r="B9" s="766"/>
      <c r="C9" s="766"/>
      <c r="D9" s="766"/>
      <c r="E9" s="766"/>
      <c r="F9" s="766"/>
      <c r="G9" s="766"/>
    </row>
    <row r="10" spans="2:14" ht="12.95" customHeight="1" x14ac:dyDescent="0.2">
      <c r="B10" s="83" t="s">
        <v>56</v>
      </c>
      <c r="C10" s="170"/>
      <c r="D10" s="170"/>
      <c r="E10" s="170"/>
      <c r="F10" s="170"/>
      <c r="G10" s="160" t="s">
        <v>5</v>
      </c>
    </row>
    <row r="11" spans="2:14" ht="12.95" customHeight="1" x14ac:dyDescent="0.2">
      <c r="B11" s="4"/>
      <c r="C11" s="771" t="s">
        <v>57</v>
      </c>
      <c r="D11" s="771"/>
      <c r="E11" s="771"/>
      <c r="F11" s="771"/>
      <c r="G11" s="5">
        <f>GMO!J12</f>
        <v>85.5</v>
      </c>
      <c r="I11" s="86"/>
    </row>
    <row r="12" spans="2:14" ht="12.95" customHeight="1" x14ac:dyDescent="0.2">
      <c r="B12" s="4"/>
      <c r="C12" s="770" t="s">
        <v>333</v>
      </c>
      <c r="D12" s="770"/>
      <c r="E12" s="770"/>
      <c r="F12" s="770"/>
      <c r="G12" s="5">
        <f>SUM(GMO!J13:J17)</f>
        <v>116.5</v>
      </c>
      <c r="I12" s="86" t="s">
        <v>357</v>
      </c>
    </row>
    <row r="13" spans="2:14" ht="12.95" customHeight="1" x14ac:dyDescent="0.2">
      <c r="B13" s="4"/>
      <c r="C13" s="770" t="s">
        <v>334</v>
      </c>
      <c r="D13" s="770"/>
      <c r="E13" s="770"/>
      <c r="F13" s="770"/>
      <c r="G13" s="5">
        <f>SUM(GMO!J18:J20)</f>
        <v>70</v>
      </c>
    </row>
    <row r="14" spans="2:14" ht="12.95" customHeight="1" x14ac:dyDescent="0.2">
      <c r="B14" s="4"/>
      <c r="C14" s="770" t="s">
        <v>335</v>
      </c>
      <c r="D14" s="770"/>
      <c r="E14" s="770"/>
      <c r="F14" s="770"/>
      <c r="G14" s="5">
        <f>SUM(GMO!J21:J22,GMO!J25,GMO!J28)</f>
        <v>41.497179869867423</v>
      </c>
      <c r="I14" s="86" t="s">
        <v>354</v>
      </c>
      <c r="N14" s="16"/>
    </row>
    <row r="15" spans="2:14" ht="12.95" customHeight="1" x14ac:dyDescent="0.2">
      <c r="B15" s="4"/>
      <c r="C15" s="770" t="s">
        <v>336</v>
      </c>
      <c r="D15" s="770"/>
      <c r="E15" s="770"/>
      <c r="F15" s="770"/>
      <c r="G15" s="5">
        <f>SUM(GMO!J23:J24)</f>
        <v>26.3264342556798</v>
      </c>
      <c r="I15" s="86" t="s">
        <v>353</v>
      </c>
      <c r="L15" s="23"/>
    </row>
    <row r="16" spans="2:14" ht="12.95" customHeight="1" x14ac:dyDescent="0.2">
      <c r="B16" s="4"/>
      <c r="C16" s="697" t="s">
        <v>291</v>
      </c>
      <c r="D16" s="697"/>
      <c r="E16" s="697"/>
      <c r="F16" s="770"/>
      <c r="G16" s="5">
        <f>SUM(GMO!J26:J27)</f>
        <v>0</v>
      </c>
    </row>
    <row r="17" spans="2:7" ht="12.95" customHeight="1" x14ac:dyDescent="0.2">
      <c r="B17" s="4"/>
      <c r="C17" s="770" t="s">
        <v>158</v>
      </c>
      <c r="D17" s="770"/>
      <c r="E17" s="770"/>
      <c r="F17" s="770"/>
      <c r="G17" s="21">
        <f>GMO!J29</f>
        <v>14.247247706422019</v>
      </c>
    </row>
    <row r="18" spans="2:7" ht="12.95" customHeight="1" x14ac:dyDescent="0.2">
      <c r="B18" s="4"/>
      <c r="C18" s="770" t="s">
        <v>224</v>
      </c>
      <c r="D18" s="770"/>
      <c r="E18" s="770"/>
      <c r="F18" s="770"/>
      <c r="G18" s="21">
        <f>GMO!J30</f>
        <v>12.165625</v>
      </c>
    </row>
    <row r="19" spans="2:7" ht="12.95" customHeight="1" x14ac:dyDescent="0.2">
      <c r="B19" s="4"/>
      <c r="C19" s="770" t="s">
        <v>337</v>
      </c>
      <c r="D19" s="770"/>
      <c r="E19" s="770"/>
      <c r="F19" s="770"/>
      <c r="G19" s="21">
        <f>GMO!J31</f>
        <v>20</v>
      </c>
    </row>
    <row r="20" spans="2:7" ht="12.95" customHeight="1" x14ac:dyDescent="0.2">
      <c r="B20" s="4"/>
      <c r="C20" s="770" t="s">
        <v>251</v>
      </c>
      <c r="D20" s="770"/>
      <c r="E20" s="770"/>
      <c r="F20" s="770"/>
      <c r="G20" s="21">
        <f>GMO!J32</f>
        <v>140</v>
      </c>
    </row>
    <row r="21" spans="2:7" ht="12.95" customHeight="1" x14ac:dyDescent="0.2">
      <c r="B21" s="4"/>
      <c r="C21" s="772" t="s">
        <v>349</v>
      </c>
      <c r="D21" s="773"/>
      <c r="E21" s="773"/>
      <c r="F21" s="774"/>
      <c r="G21" s="21">
        <f>GMO!J33</f>
        <v>0</v>
      </c>
    </row>
    <row r="22" spans="2:7" ht="12.95" customHeight="1" x14ac:dyDescent="0.2">
      <c r="B22" s="4"/>
      <c r="C22" s="770" t="s">
        <v>160</v>
      </c>
      <c r="D22" s="770"/>
      <c r="E22" s="770"/>
      <c r="F22" s="770"/>
      <c r="G22" s="21">
        <f>GMO!J34</f>
        <v>10</v>
      </c>
    </row>
    <row r="23" spans="2:7" ht="12.95" customHeight="1" x14ac:dyDescent="0.2">
      <c r="B23" s="4"/>
      <c r="C23" s="770" t="s">
        <v>61</v>
      </c>
      <c r="D23" s="770"/>
      <c r="E23" s="770"/>
      <c r="F23" s="770"/>
      <c r="G23" s="96">
        <f>GMO!J35</f>
        <v>14.287983112990036</v>
      </c>
    </row>
    <row r="24" spans="2:7" ht="12.95" customHeight="1" x14ac:dyDescent="0.2">
      <c r="B24" s="769" t="s">
        <v>63</v>
      </c>
      <c r="C24" s="769"/>
      <c r="D24" s="769"/>
      <c r="E24" s="769"/>
      <c r="F24" s="769"/>
      <c r="G24" s="35">
        <f>SUM(G11:G23)</f>
        <v>550.52446994495915</v>
      </c>
    </row>
    <row r="25" spans="2:7" ht="5.0999999999999996" customHeight="1" x14ac:dyDescent="0.2">
      <c r="B25" s="766"/>
      <c r="C25" s="766"/>
      <c r="D25" s="766"/>
      <c r="E25" s="766"/>
      <c r="F25" s="766"/>
      <c r="G25" s="766"/>
    </row>
    <row r="26" spans="2:7" ht="15.75" x14ac:dyDescent="0.25">
      <c r="B26" s="778" t="s">
        <v>64</v>
      </c>
      <c r="C26" s="779"/>
      <c r="D26" s="779"/>
      <c r="E26" s="779"/>
      <c r="F26" s="779"/>
      <c r="G26" s="201">
        <f>G8-G24</f>
        <v>91.975530055040849</v>
      </c>
    </row>
    <row r="27" spans="2:7" ht="12.95" customHeight="1" x14ac:dyDescent="0.2">
      <c r="B27" s="766"/>
      <c r="C27" s="766"/>
      <c r="D27" s="766"/>
      <c r="E27" s="766"/>
      <c r="F27" s="766"/>
      <c r="G27" s="766"/>
    </row>
    <row r="28" spans="2:7" ht="12.95" customHeight="1" x14ac:dyDescent="0.2">
      <c r="B28" s="83" t="s">
        <v>65</v>
      </c>
      <c r="C28" s="170"/>
      <c r="D28" s="170"/>
      <c r="E28" s="170"/>
      <c r="F28" s="170"/>
      <c r="G28" s="160" t="s">
        <v>5</v>
      </c>
    </row>
    <row r="29" spans="2:7" ht="12.95" customHeight="1" x14ac:dyDescent="0.2">
      <c r="B29" s="4"/>
      <c r="C29" s="770" t="s">
        <v>338</v>
      </c>
      <c r="D29" s="770"/>
      <c r="E29" s="770"/>
      <c r="F29" s="770"/>
      <c r="G29" s="21">
        <f>GMO!J41</f>
        <v>0</v>
      </c>
    </row>
    <row r="30" spans="2:7" ht="12.95" customHeight="1" x14ac:dyDescent="0.2">
      <c r="B30" s="4"/>
      <c r="C30" s="697" t="s">
        <v>339</v>
      </c>
      <c r="D30" s="697"/>
      <c r="E30" s="697"/>
      <c r="F30" s="770"/>
      <c r="G30" s="21">
        <f>GMO!J42</f>
        <v>59.467590112875563</v>
      </c>
    </row>
    <row r="31" spans="2:7" ht="12.95" customHeight="1" x14ac:dyDescent="0.2">
      <c r="B31" s="4"/>
      <c r="C31" s="771" t="s">
        <v>159</v>
      </c>
      <c r="D31" s="771"/>
      <c r="E31" s="771"/>
      <c r="F31" s="771"/>
      <c r="G31" s="22">
        <f>SUM(GMO!J43:J44)</f>
        <v>15</v>
      </c>
    </row>
    <row r="32" spans="2:7" ht="15.75" x14ac:dyDescent="0.25">
      <c r="B32" s="778" t="s">
        <v>66</v>
      </c>
      <c r="C32" s="779"/>
      <c r="D32" s="779"/>
      <c r="E32" s="779"/>
      <c r="F32" s="779"/>
      <c r="G32" s="201">
        <f>G26-(SUM(G29:G31))</f>
        <v>17.507939942165279</v>
      </c>
    </row>
    <row r="33" spans="2:10" ht="12.95" customHeight="1" x14ac:dyDescent="0.2">
      <c r="B33" s="766"/>
      <c r="C33" s="766"/>
      <c r="D33" s="766"/>
      <c r="E33" s="766"/>
      <c r="F33" s="766"/>
      <c r="G33" s="766"/>
      <c r="H33" s="38"/>
      <c r="I33" s="38"/>
      <c r="J33" s="38"/>
    </row>
    <row r="34" spans="2:10" ht="15.75" x14ac:dyDescent="0.25">
      <c r="B34" s="775" t="str">
        <f>"Breakeven Yield at " &amp; TEXT(GMO!G6,"$0.00") &amp;" /bushel"</f>
        <v>Breakeven Yield at $3.75 /bushel</v>
      </c>
      <c r="C34" s="776"/>
      <c r="D34" s="776"/>
      <c r="E34" s="776"/>
      <c r="F34" s="777"/>
      <c r="G34" s="202">
        <f>GMO!E47</f>
        <v>146.80652531865579</v>
      </c>
      <c r="H34" s="116"/>
      <c r="I34" s="148" t="s">
        <v>340</v>
      </c>
      <c r="J34" s="38"/>
    </row>
    <row r="35" spans="2:10" ht="15.75" x14ac:dyDescent="0.25">
      <c r="B35" s="775" t="str">
        <f>"Breakeven Cost at " &amp; ROUND(GMO!E6,0) &amp;" bu/acre"</f>
        <v>Breakeven Cost at 170 bu/acre</v>
      </c>
      <c r="C35" s="776"/>
      <c r="D35" s="776"/>
      <c r="E35" s="776"/>
      <c r="F35" s="777"/>
      <c r="G35" s="203">
        <f>GMO!E48</f>
        <v>3.2383792349703477</v>
      </c>
      <c r="H35" s="116"/>
      <c r="I35" s="148" t="s">
        <v>341</v>
      </c>
      <c r="J35" s="38"/>
    </row>
    <row r="36" spans="2:10" ht="15.75" x14ac:dyDescent="0.25">
      <c r="B36" s="775" t="str">
        <f>"Breakeven Cost at " &amp; ROUND(GMO!E6,0) &amp;" bu/acre"</f>
        <v>Breakeven Cost at 170 bu/acre</v>
      </c>
      <c r="C36" s="776"/>
      <c r="D36" s="776"/>
      <c r="E36" s="776"/>
      <c r="F36" s="777"/>
      <c r="G36" s="203">
        <f>GMO!E49</f>
        <v>3.6764238826931455</v>
      </c>
      <c r="H36" s="116"/>
      <c r="I36" s="148" t="s">
        <v>342</v>
      </c>
      <c r="J36" s="38"/>
    </row>
    <row r="37" spans="2:10" x14ac:dyDescent="0.2">
      <c r="B37" s="781"/>
      <c r="C37" s="781"/>
      <c r="D37" s="781"/>
      <c r="E37" s="781"/>
      <c r="F37" s="781"/>
      <c r="G37" s="781"/>
      <c r="H37" s="38"/>
      <c r="I37" s="38"/>
      <c r="J37" s="38"/>
    </row>
    <row r="38" spans="2:10" x14ac:dyDescent="0.2">
      <c r="B38" s="782"/>
      <c r="C38" s="782"/>
      <c r="D38" s="782"/>
      <c r="E38" s="782"/>
      <c r="F38" s="782"/>
      <c r="G38" s="782"/>
      <c r="H38" s="38"/>
      <c r="I38" s="38"/>
      <c r="J38" s="38"/>
    </row>
    <row r="39" spans="2:10" ht="14.25" x14ac:dyDescent="0.2">
      <c r="B39" s="780"/>
      <c r="C39" s="781"/>
      <c r="D39" s="781"/>
      <c r="E39" s="781"/>
      <c r="F39" s="781"/>
      <c r="G39" s="781"/>
    </row>
    <row r="40" spans="2:10" ht="14.25" x14ac:dyDescent="0.2">
      <c r="B40" s="780"/>
      <c r="C40" s="781"/>
      <c r="D40" s="781"/>
      <c r="E40" s="781"/>
      <c r="F40" s="781"/>
      <c r="G40" s="781"/>
    </row>
    <row r="41" spans="2:10" ht="14.25" x14ac:dyDescent="0.2">
      <c r="B41" s="780"/>
      <c r="C41" s="781"/>
      <c r="D41" s="781"/>
      <c r="E41" s="781"/>
      <c r="F41" s="781"/>
      <c r="G41" s="781"/>
    </row>
    <row r="42" spans="2:10" ht="14.25" x14ac:dyDescent="0.2">
      <c r="B42" s="780"/>
      <c r="C42" s="781"/>
      <c r="D42" s="781"/>
      <c r="E42" s="781"/>
      <c r="F42" s="781"/>
      <c r="G42" s="781"/>
    </row>
  </sheetData>
  <mergeCells count="37">
    <mergeCell ref="B42:G42"/>
    <mergeCell ref="B36:F36"/>
    <mergeCell ref="B37:G37"/>
    <mergeCell ref="B38:G38"/>
    <mergeCell ref="B39:G39"/>
    <mergeCell ref="B40:G40"/>
    <mergeCell ref="B41:G41"/>
    <mergeCell ref="B35:F35"/>
    <mergeCell ref="C23:F23"/>
    <mergeCell ref="B24:F24"/>
    <mergeCell ref="B25:G25"/>
    <mergeCell ref="B26:F26"/>
    <mergeCell ref="B27:G27"/>
    <mergeCell ref="C29:F29"/>
    <mergeCell ref="C30:F30"/>
    <mergeCell ref="C31:F31"/>
    <mergeCell ref="B32:F32"/>
    <mergeCell ref="B33:G33"/>
    <mergeCell ref="B34:F34"/>
    <mergeCell ref="C22:F22"/>
    <mergeCell ref="C11:F11"/>
    <mergeCell ref="C12:F12"/>
    <mergeCell ref="C13:F13"/>
    <mergeCell ref="C14:F14"/>
    <mergeCell ref="C15:F15"/>
    <mergeCell ref="C16:F16"/>
    <mergeCell ref="C17:F17"/>
    <mergeCell ref="C18:F18"/>
    <mergeCell ref="C19:F19"/>
    <mergeCell ref="C20:F20"/>
    <mergeCell ref="C21:F21"/>
    <mergeCell ref="B9:G9"/>
    <mergeCell ref="B2:G2"/>
    <mergeCell ref="B3:G3"/>
    <mergeCell ref="C6:F6"/>
    <mergeCell ref="C7:F7"/>
    <mergeCell ref="B8:F8"/>
  </mergeCells>
  <dataValidations count="1">
    <dataValidation type="list" allowBlank="1" showInputMessage="1" showErrorMessage="1" sqref="F18 F20">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1" id="{8C2FB3DF-6A56-4A43-A5AB-E6688358F6B5}">
            <xm:f>GMO!$C$87=GMO!$C$84</xm:f>
            <x14:dxf>
              <font>
                <color theme="0"/>
              </font>
            </x14:dxf>
          </x14:cfRule>
          <xm:sqref>C16:G16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89"/>
  <sheetViews>
    <sheetView showGridLines="0" workbookViewId="0">
      <selection activeCell="M36" sqref="M36"/>
    </sheetView>
  </sheetViews>
  <sheetFormatPr defaultColWidth="9.140625" defaultRowHeight="12.75" x14ac:dyDescent="0.2"/>
  <cols>
    <col min="1" max="2" width="3.7109375" style="228" customWidth="1"/>
    <col min="3" max="4" width="16.7109375" style="228" customWidth="1"/>
    <col min="5" max="5" width="8.7109375" style="228" customWidth="1"/>
    <col min="6" max="6" width="9.5703125" style="228" customWidth="1"/>
    <col min="7" max="7" width="8.7109375" style="228" customWidth="1"/>
    <col min="8" max="8" width="13.7109375" style="228" customWidth="1"/>
    <col min="9" max="9" width="5.7109375" style="228" customWidth="1"/>
    <col min="10" max="10" width="9.28515625" style="228" customWidth="1"/>
    <col min="11" max="11" width="3.7109375" style="228" customWidth="1"/>
    <col min="12" max="12" width="5.7109375" style="228" customWidth="1"/>
    <col min="13" max="13" width="19.85546875" style="228" customWidth="1"/>
    <col min="14" max="18" width="8.7109375" style="228" customWidth="1"/>
    <col min="19" max="19" width="10.28515625" style="228" customWidth="1"/>
    <col min="20" max="21" width="6.7109375" style="228" customWidth="1"/>
    <col min="22" max="16384" width="9.140625" style="228"/>
  </cols>
  <sheetData>
    <row r="2" spans="2:22" ht="15.75" x14ac:dyDescent="0.2">
      <c r="B2" s="819" t="str">
        <f>'Machinery(Soybeans)'!C16&amp; " Soybeans, Per Acre Costs and Returns"</f>
        <v>No-Till Soybeans, Per Acre Costs and Returns</v>
      </c>
      <c r="C2" s="820"/>
      <c r="D2" s="820"/>
      <c r="E2" s="820"/>
      <c r="F2" s="820"/>
      <c r="G2" s="820"/>
      <c r="H2" s="820"/>
      <c r="I2" s="820"/>
      <c r="J2" s="820"/>
      <c r="L2" s="228" t="s">
        <v>75</v>
      </c>
    </row>
    <row r="3" spans="2:22" ht="5.25" customHeight="1" x14ac:dyDescent="0.2">
      <c r="B3" s="807"/>
      <c r="C3" s="808"/>
      <c r="D3" s="808"/>
      <c r="E3" s="808"/>
      <c r="F3" s="808"/>
      <c r="G3" s="808"/>
      <c r="H3" s="808"/>
      <c r="I3" s="808"/>
      <c r="J3" s="809"/>
    </row>
    <row r="4" spans="2:22" s="231" customFormat="1" ht="12.95" customHeight="1" x14ac:dyDescent="0.2">
      <c r="B4" s="280"/>
      <c r="C4" s="826"/>
      <c r="D4" s="827"/>
      <c r="E4" s="230" t="s">
        <v>137</v>
      </c>
      <c r="F4" s="230" t="s">
        <v>52</v>
      </c>
      <c r="G4" s="230" t="s">
        <v>53</v>
      </c>
      <c r="H4" s="821"/>
      <c r="I4" s="822"/>
      <c r="J4" s="230" t="s">
        <v>5</v>
      </c>
      <c r="L4" s="88"/>
    </row>
    <row r="5" spans="2:22" ht="12.95" customHeight="1" x14ac:dyDescent="0.2">
      <c r="B5" s="812" t="s">
        <v>54</v>
      </c>
      <c r="C5" s="813"/>
      <c r="D5" s="814"/>
      <c r="E5" s="804"/>
      <c r="F5" s="805"/>
      <c r="G5" s="805"/>
      <c r="H5" s="805"/>
      <c r="I5" s="805"/>
      <c r="J5" s="806"/>
    </row>
    <row r="6" spans="2:22" ht="12.95" customHeight="1" x14ac:dyDescent="0.2">
      <c r="B6" s="232"/>
      <c r="C6" s="817" t="s">
        <v>23</v>
      </c>
      <c r="D6" s="825"/>
      <c r="E6" s="233">
        <v>53</v>
      </c>
      <c r="F6" s="232" t="s">
        <v>55</v>
      </c>
      <c r="G6" s="234">
        <v>9.8000000000000007</v>
      </c>
      <c r="H6" s="803"/>
      <c r="I6" s="803"/>
      <c r="J6" s="235">
        <f>E6*G6</f>
        <v>519.40000000000009</v>
      </c>
    </row>
    <row r="7" spans="2:22" ht="12.95" customHeight="1" x14ac:dyDescent="0.2">
      <c r="B7" s="232"/>
      <c r="C7" s="801" t="s">
        <v>168</v>
      </c>
      <c r="D7" s="802"/>
      <c r="E7" s="232">
        <v>1</v>
      </c>
      <c r="F7" s="232" t="s">
        <v>60</v>
      </c>
      <c r="G7" s="234">
        <v>0</v>
      </c>
      <c r="H7" s="823"/>
      <c r="I7" s="824"/>
      <c r="J7" s="236">
        <f>E7*G7</f>
        <v>0</v>
      </c>
    </row>
    <row r="8" spans="2:22" ht="12.95" customHeight="1" x14ac:dyDescent="0.2">
      <c r="B8" s="232"/>
      <c r="C8" s="801" t="s">
        <v>167</v>
      </c>
      <c r="D8" s="802"/>
      <c r="E8" s="232">
        <v>1</v>
      </c>
      <c r="F8" s="232" t="s">
        <v>60</v>
      </c>
      <c r="G8" s="234">
        <v>5</v>
      </c>
      <c r="H8" s="823"/>
      <c r="I8" s="824"/>
      <c r="J8" s="237">
        <f>E8*G8</f>
        <v>5</v>
      </c>
      <c r="L8" s="281"/>
      <c r="M8" s="241"/>
      <c r="N8" s="282"/>
      <c r="O8" s="135"/>
      <c r="P8" s="134"/>
      <c r="Q8" s="135"/>
      <c r="R8" s="135"/>
    </row>
    <row r="9" spans="2:22" ht="12.95" customHeight="1" x14ac:dyDescent="0.2">
      <c r="B9" s="812" t="s">
        <v>74</v>
      </c>
      <c r="C9" s="813"/>
      <c r="D9" s="814"/>
      <c r="E9" s="232"/>
      <c r="F9" s="232"/>
      <c r="G9" s="238"/>
      <c r="H9" s="803"/>
      <c r="I9" s="803"/>
      <c r="J9" s="239">
        <f>J6+J8</f>
        <v>524.40000000000009</v>
      </c>
    </row>
    <row r="10" spans="2:22" ht="4.5" customHeight="1" x14ac:dyDescent="0.2">
      <c r="B10" s="807"/>
      <c r="C10" s="808"/>
      <c r="D10" s="808"/>
      <c r="E10" s="808"/>
      <c r="F10" s="808"/>
      <c r="G10" s="808"/>
      <c r="H10" s="808"/>
      <c r="I10" s="808"/>
      <c r="J10" s="809"/>
    </row>
    <row r="11" spans="2:22" ht="12.95" customHeight="1" x14ac:dyDescent="0.2">
      <c r="B11" s="812" t="s">
        <v>56</v>
      </c>
      <c r="C11" s="813"/>
      <c r="D11" s="814"/>
      <c r="E11" s="804"/>
      <c r="F11" s="805"/>
      <c r="G11" s="805"/>
      <c r="H11" s="805"/>
      <c r="I11" s="805"/>
      <c r="J11" s="806"/>
      <c r="L11" s="534" t="s">
        <v>396</v>
      </c>
      <c r="M11" s="535"/>
      <c r="N11" s="789" t="s">
        <v>195</v>
      </c>
      <c r="O11" s="533" t="s">
        <v>266</v>
      </c>
      <c r="P11" s="533" t="s">
        <v>267</v>
      </c>
      <c r="Q11" s="533" t="s">
        <v>315</v>
      </c>
      <c r="R11" s="533" t="s">
        <v>314</v>
      </c>
      <c r="S11" s="538"/>
      <c r="T11" s="538"/>
      <c r="U11" s="538"/>
      <c r="V11" s="538"/>
    </row>
    <row r="12" spans="2:22" ht="12.95" customHeight="1" x14ac:dyDescent="0.2">
      <c r="B12" s="232"/>
      <c r="C12" s="801" t="s">
        <v>57</v>
      </c>
      <c r="D12" s="802"/>
      <c r="E12" s="242">
        <v>1</v>
      </c>
      <c r="F12" s="232" t="s">
        <v>58</v>
      </c>
      <c r="G12" s="234">
        <v>55</v>
      </c>
      <c r="H12" s="803"/>
      <c r="I12" s="803"/>
      <c r="J12" s="235">
        <f>E12*G12</f>
        <v>55</v>
      </c>
      <c r="L12" s="536"/>
      <c r="M12" s="796"/>
      <c r="N12" s="789"/>
      <c r="O12" s="533"/>
      <c r="P12" s="533"/>
      <c r="Q12" s="533"/>
      <c r="R12" s="533"/>
      <c r="S12" s="538"/>
      <c r="T12" s="538"/>
      <c r="U12" s="538"/>
      <c r="V12" s="538"/>
    </row>
    <row r="13" spans="2:22" ht="12.95" customHeight="1" thickBot="1" x14ac:dyDescent="0.25">
      <c r="B13" s="232"/>
      <c r="C13" s="786" t="s">
        <v>217</v>
      </c>
      <c r="D13" s="787"/>
      <c r="E13" s="283">
        <v>0</v>
      </c>
      <c r="F13" s="244" t="s">
        <v>166</v>
      </c>
      <c r="G13" s="234">
        <v>0</v>
      </c>
      <c r="H13" s="790" t="s">
        <v>348</v>
      </c>
      <c r="I13" s="791"/>
      <c r="J13" s="235">
        <f t="shared" ref="J13:J20" si="0">E13*G13</f>
        <v>0</v>
      </c>
      <c r="L13" s="209" t="s">
        <v>90</v>
      </c>
      <c r="M13" s="284" t="str">
        <f>GMO!M13</f>
        <v>UREA</v>
      </c>
      <c r="N13" s="77" t="s">
        <v>288</v>
      </c>
      <c r="O13" s="147">
        <f>GMO!O13</f>
        <v>360</v>
      </c>
      <c r="P13" s="104">
        <f>IF(M13=M63,O13/(2000*O63),IF(M13=M64,O13/(2000*O64),IF(M13=M65,O13/(2000*O65),O13/(2000*O66))))</f>
        <v>0.39130434782608697</v>
      </c>
      <c r="Q13" s="143" t="s">
        <v>288</v>
      </c>
      <c r="R13" s="186">
        <f>IF(M14=M71,Q14*O71,IF(M14=M72,Q14*O72,Q14*O73))</f>
        <v>10.799999999999999</v>
      </c>
      <c r="S13" s="146"/>
      <c r="T13" s="206"/>
      <c r="U13" s="206"/>
      <c r="V13" s="206"/>
    </row>
    <row r="14" spans="2:22" ht="12.95" customHeight="1" thickBot="1" x14ac:dyDescent="0.25">
      <c r="B14" s="232"/>
      <c r="C14" s="801" t="s">
        <v>111</v>
      </c>
      <c r="D14" s="802"/>
      <c r="E14" s="233">
        <v>30</v>
      </c>
      <c r="F14" s="232" t="s">
        <v>166</v>
      </c>
      <c r="G14" s="234">
        <v>0.3</v>
      </c>
      <c r="H14" s="792"/>
      <c r="I14" s="793"/>
      <c r="J14" s="235">
        <f t="shared" si="0"/>
        <v>9</v>
      </c>
      <c r="L14" s="114" t="s">
        <v>326</v>
      </c>
      <c r="M14" s="304" t="s">
        <v>212</v>
      </c>
      <c r="N14" s="80" t="str">
        <f>IF(M14=M71,S71,IF(M14=M72,S72,S73))</f>
        <v>18-46-0</v>
      </c>
      <c r="O14" s="226">
        <v>415</v>
      </c>
      <c r="P14" s="104">
        <f>IF(M14=M71,(O14-2000*O71*P13)/(2000*Q71),IF(M14=M72,(O14-2000*O72*P13)/(2000*Q72),(O14-2000*O73*P13)/(2000*Q73)))</f>
        <v>0.29796786389413987</v>
      </c>
      <c r="Q14" s="227">
        <v>60</v>
      </c>
      <c r="R14" s="123">
        <f>IF(M14=M71,Q14*Q71,IF(M14=M72,Q14*Q72,Q14*Q73))</f>
        <v>27.6</v>
      </c>
      <c r="S14" s="144"/>
      <c r="T14" s="145"/>
      <c r="U14" s="137"/>
      <c r="V14" s="137"/>
    </row>
    <row r="15" spans="2:22" ht="12.95" customHeight="1" thickBot="1" x14ac:dyDescent="0.25">
      <c r="B15" s="232"/>
      <c r="C15" s="801" t="s">
        <v>112</v>
      </c>
      <c r="D15" s="802"/>
      <c r="E15" s="233">
        <v>55</v>
      </c>
      <c r="F15" s="232" t="s">
        <v>166</v>
      </c>
      <c r="G15" s="234">
        <v>0.3</v>
      </c>
      <c r="H15" s="794"/>
      <c r="I15" s="795"/>
      <c r="J15" s="235">
        <f t="shared" si="0"/>
        <v>16.5</v>
      </c>
      <c r="L15" s="114" t="s">
        <v>327</v>
      </c>
      <c r="M15" s="305" t="s">
        <v>220</v>
      </c>
      <c r="N15" s="199" t="str">
        <f>IF(M15=M68,S68,S69)</f>
        <v>0-0-60</v>
      </c>
      <c r="O15" s="226">
        <v>330</v>
      </c>
      <c r="P15" s="105">
        <f>IF(M15=M68,O15/(2000*P68),O15/2000*P69)</f>
        <v>0.27500000000000002</v>
      </c>
      <c r="Q15" s="227">
        <v>90</v>
      </c>
      <c r="R15" s="123">
        <f>IF(M15=M68,Q15*P68,Q15*P69)</f>
        <v>54</v>
      </c>
      <c r="S15" s="144"/>
      <c r="T15" s="145"/>
      <c r="U15" s="137"/>
      <c r="V15" s="137"/>
    </row>
    <row r="16" spans="2:22" ht="12.95" customHeight="1" x14ac:dyDescent="0.2">
      <c r="B16" s="232"/>
      <c r="C16" s="801" t="s">
        <v>97</v>
      </c>
      <c r="D16" s="802"/>
      <c r="E16" s="233">
        <v>0</v>
      </c>
      <c r="F16" s="244" t="s">
        <v>325</v>
      </c>
      <c r="G16" s="234">
        <v>0</v>
      </c>
      <c r="H16" s="810"/>
      <c r="I16" s="811"/>
      <c r="J16" s="235">
        <f t="shared" si="0"/>
        <v>0</v>
      </c>
      <c r="L16" s="245" t="s">
        <v>268</v>
      </c>
      <c r="M16" s="139"/>
      <c r="N16" s="140"/>
      <c r="O16" s="141"/>
      <c r="P16" s="137"/>
      <c r="Q16" s="142"/>
      <c r="R16" s="142"/>
      <c r="S16" s="142"/>
      <c r="T16" s="138"/>
      <c r="U16" s="138"/>
    </row>
    <row r="17" spans="2:19" ht="12.95" customHeight="1" x14ac:dyDescent="0.2">
      <c r="B17" s="232"/>
      <c r="C17" s="801" t="s">
        <v>87</v>
      </c>
      <c r="D17" s="802"/>
      <c r="E17" s="246">
        <v>0.7</v>
      </c>
      <c r="F17" s="244" t="s">
        <v>316</v>
      </c>
      <c r="G17" s="234">
        <v>20</v>
      </c>
      <c r="H17" s="803"/>
      <c r="I17" s="803"/>
      <c r="J17" s="235">
        <f t="shared" si="0"/>
        <v>14</v>
      </c>
      <c r="K17" s="229"/>
      <c r="L17" s="285" t="s">
        <v>370</v>
      </c>
      <c r="M17" s="240"/>
      <c r="N17" s="240"/>
      <c r="O17" s="240"/>
      <c r="P17" s="240"/>
      <c r="Q17" s="240"/>
      <c r="R17" s="240"/>
      <c r="S17" s="240"/>
    </row>
    <row r="18" spans="2:19" ht="12.95" customHeight="1" x14ac:dyDescent="0.2">
      <c r="B18" s="232"/>
      <c r="C18" s="801" t="s">
        <v>59</v>
      </c>
      <c r="D18" s="802"/>
      <c r="E18" s="232">
        <v>1</v>
      </c>
      <c r="F18" s="232" t="s">
        <v>60</v>
      </c>
      <c r="G18" s="234">
        <v>60</v>
      </c>
      <c r="H18" s="803"/>
      <c r="I18" s="803"/>
      <c r="J18" s="235">
        <f t="shared" si="0"/>
        <v>60</v>
      </c>
      <c r="K18" s="229"/>
    </row>
    <row r="19" spans="2:19" ht="12.95" customHeight="1" x14ac:dyDescent="0.2">
      <c r="B19" s="232"/>
      <c r="C19" s="801" t="s">
        <v>148</v>
      </c>
      <c r="D19" s="802"/>
      <c r="E19" s="232">
        <v>1</v>
      </c>
      <c r="F19" s="232" t="s">
        <v>60</v>
      </c>
      <c r="G19" s="234">
        <v>0</v>
      </c>
      <c r="H19" s="803"/>
      <c r="I19" s="803"/>
      <c r="J19" s="235">
        <f t="shared" si="0"/>
        <v>0</v>
      </c>
      <c r="K19" s="229"/>
      <c r="L19" s="229"/>
      <c r="M19" s="240"/>
      <c r="O19" s="286"/>
      <c r="Q19" s="240"/>
      <c r="R19" s="240"/>
      <c r="S19" s="240"/>
    </row>
    <row r="20" spans="2:19" ht="12.95" customHeight="1" thickBot="1" x14ac:dyDescent="0.25">
      <c r="B20" s="232"/>
      <c r="C20" s="801" t="s">
        <v>149</v>
      </c>
      <c r="D20" s="802"/>
      <c r="E20" s="232">
        <v>1</v>
      </c>
      <c r="F20" s="232" t="s">
        <v>60</v>
      </c>
      <c r="G20" s="234">
        <v>0</v>
      </c>
      <c r="H20" s="847"/>
      <c r="I20" s="848"/>
      <c r="J20" s="235">
        <f t="shared" si="0"/>
        <v>0</v>
      </c>
      <c r="K20" s="229"/>
      <c r="L20" s="243"/>
      <c r="M20" s="240"/>
      <c r="N20" s="240"/>
      <c r="O20" s="240"/>
      <c r="P20" s="240"/>
      <c r="Q20" s="240"/>
      <c r="R20" s="240"/>
      <c r="S20" s="240"/>
    </row>
    <row r="21" spans="2:19" ht="12.95" customHeight="1" thickBot="1" x14ac:dyDescent="0.25">
      <c r="B21" s="232"/>
      <c r="C21" s="842" t="s">
        <v>86</v>
      </c>
      <c r="D21" s="843"/>
      <c r="E21" s="248">
        <v>1</v>
      </c>
      <c r="F21" s="248" t="s">
        <v>60</v>
      </c>
      <c r="G21" s="249">
        <v>0</v>
      </c>
      <c r="H21" s="783" t="s">
        <v>129</v>
      </c>
      <c r="I21" s="844" t="s">
        <v>51</v>
      </c>
      <c r="J21" s="250">
        <f>IF(I21=D62,'Machinery Calculations (SB)'!U74,G21)</f>
        <v>8.4206350427654133</v>
      </c>
      <c r="L21" s="251"/>
      <c r="M21" s="251"/>
    </row>
    <row r="22" spans="2:19" ht="12.95" customHeight="1" thickBot="1" x14ac:dyDescent="0.25">
      <c r="B22" s="232"/>
      <c r="C22" s="842" t="s">
        <v>8</v>
      </c>
      <c r="D22" s="843"/>
      <c r="E22" s="248">
        <v>1</v>
      </c>
      <c r="F22" s="248" t="s">
        <v>60</v>
      </c>
      <c r="G22" s="249">
        <v>0</v>
      </c>
      <c r="H22" s="784"/>
      <c r="I22" s="844"/>
      <c r="J22" s="250">
        <f>IF(I21=D62,'Machinery Calculations (SB)'!X74,G22)</f>
        <v>22.918683245129827</v>
      </c>
      <c r="L22" s="251"/>
      <c r="M22" s="287"/>
    </row>
    <row r="23" spans="2:19" ht="12.95" customHeight="1" thickBot="1" x14ac:dyDescent="0.25">
      <c r="B23" s="232"/>
      <c r="C23" s="842" t="s">
        <v>71</v>
      </c>
      <c r="D23" s="843"/>
      <c r="E23" s="248">
        <v>1</v>
      </c>
      <c r="F23" s="248" t="s">
        <v>60</v>
      </c>
      <c r="G23" s="249">
        <v>0</v>
      </c>
      <c r="H23" s="784"/>
      <c r="I23" s="844"/>
      <c r="J23" s="250">
        <f>IF(I21=D62,'Machinery Calculations (SB)'!W74,G23)</f>
        <v>0</v>
      </c>
      <c r="K23" s="88"/>
      <c r="L23" s="270"/>
    </row>
    <row r="24" spans="2:19" ht="12.95" customHeight="1" thickBot="1" x14ac:dyDescent="0.25">
      <c r="B24" s="232"/>
      <c r="C24" s="842" t="s">
        <v>113</v>
      </c>
      <c r="D24" s="843"/>
      <c r="E24" s="248">
        <v>1</v>
      </c>
      <c r="F24" s="248" t="s">
        <v>60</v>
      </c>
      <c r="G24" s="249">
        <v>0</v>
      </c>
      <c r="H24" s="784"/>
      <c r="I24" s="844"/>
      <c r="J24" s="250">
        <f>IF(I21=D62,(IF('Machinery Calculations (SB)'!B5='Machinery(Soybeans)'!B48,'Machinery Calculations (SB)'!V74,0)),G24)</f>
        <v>20.320231016728787</v>
      </c>
      <c r="K24" s="251"/>
      <c r="L24" s="251"/>
    </row>
    <row r="25" spans="2:19" ht="12.95" customHeight="1" thickBot="1" x14ac:dyDescent="0.25">
      <c r="B25" s="232"/>
      <c r="C25" s="842" t="s">
        <v>128</v>
      </c>
      <c r="D25" s="846"/>
      <c r="E25" s="248">
        <v>1</v>
      </c>
      <c r="F25" s="248" t="s">
        <v>60</v>
      </c>
      <c r="G25" s="249">
        <v>0</v>
      </c>
      <c r="H25" s="785"/>
      <c r="I25" s="844"/>
      <c r="J25" s="250">
        <f>IF(I21=D62,'Machinery Calculations (SB)'!Z74,E25*G25)</f>
        <v>0</v>
      </c>
      <c r="K25" s="228" t="s">
        <v>75</v>
      </c>
      <c r="L25" s="251"/>
    </row>
    <row r="26" spans="2:19" ht="12.95" customHeight="1" thickBot="1" x14ac:dyDescent="0.25">
      <c r="B26" s="232"/>
      <c r="C26" s="288" t="s">
        <v>291</v>
      </c>
      <c r="D26" s="252" t="s">
        <v>222</v>
      </c>
      <c r="E26" s="253">
        <v>1</v>
      </c>
      <c r="F26" s="244" t="s">
        <v>55</v>
      </c>
      <c r="G26" s="234">
        <v>0.25</v>
      </c>
      <c r="H26" s="798" t="s">
        <v>274</v>
      </c>
      <c r="I26" s="799">
        <v>25</v>
      </c>
      <c r="J26" s="235" t="str">
        <f>IF(I21=D61,E6*G26,IF(D26=C83,E6*G26,""))</f>
        <v/>
      </c>
      <c r="K26" s="251"/>
      <c r="L26" s="255" t="s">
        <v>321</v>
      </c>
    </row>
    <row r="27" spans="2:19" ht="12.95" customHeight="1" thickBot="1" x14ac:dyDescent="0.25">
      <c r="B27" s="256"/>
      <c r="C27" s="849" t="s">
        <v>244</v>
      </c>
      <c r="D27" s="849"/>
      <c r="E27" s="253">
        <v>1</v>
      </c>
      <c r="F27" s="244" t="s">
        <v>55</v>
      </c>
      <c r="G27" s="289">
        <f>'Machinery Calculations (SB)'!AA79/E6</f>
        <v>0.15421414520140572</v>
      </c>
      <c r="H27" s="798"/>
      <c r="I27" s="800"/>
      <c r="J27" s="235" t="str">
        <f>IF(I21=D61,"",IF(D26=C84,IF(C27=C74,E6*G27,""),""))</f>
        <v/>
      </c>
      <c r="K27" s="251"/>
      <c r="L27" s="257" t="s">
        <v>287</v>
      </c>
    </row>
    <row r="28" spans="2:19" ht="12.95" customHeight="1" x14ac:dyDescent="0.2">
      <c r="B28" s="232"/>
      <c r="C28" s="845" t="s">
        <v>77</v>
      </c>
      <c r="D28" s="815"/>
      <c r="E28" s="232">
        <v>1</v>
      </c>
      <c r="F28" s="232" t="s">
        <v>60</v>
      </c>
      <c r="G28" s="234">
        <v>0</v>
      </c>
      <c r="H28" s="797"/>
      <c r="I28" s="797"/>
      <c r="J28" s="235">
        <f t="shared" ref="J28:J34" si="1">E28*G28</f>
        <v>0</v>
      </c>
      <c r="K28" s="228" t="s">
        <v>75</v>
      </c>
    </row>
    <row r="29" spans="2:19" ht="12.95" customHeight="1" thickBot="1" x14ac:dyDescent="0.25">
      <c r="B29" s="232"/>
      <c r="C29" s="817" t="s">
        <v>158</v>
      </c>
      <c r="D29" s="818"/>
      <c r="E29" s="232">
        <v>1</v>
      </c>
      <c r="F29" s="232" t="s">
        <v>85</v>
      </c>
      <c r="G29" s="234">
        <v>0</v>
      </c>
      <c r="H29" s="258" t="s">
        <v>395</v>
      </c>
      <c r="I29" s="290">
        <v>0</v>
      </c>
      <c r="J29" s="235">
        <f>(G29/54.5+0.005)*E6*I29</f>
        <v>0</v>
      </c>
    </row>
    <row r="30" spans="2:19" ht="12.95" customHeight="1" thickBot="1" x14ac:dyDescent="0.25">
      <c r="B30" s="232"/>
      <c r="C30" s="260" t="s">
        <v>224</v>
      </c>
      <c r="D30" s="252" t="s">
        <v>238</v>
      </c>
      <c r="E30" s="253">
        <f>E6*I30</f>
        <v>5.3000000000000007</v>
      </c>
      <c r="F30" s="244" t="s">
        <v>55</v>
      </c>
      <c r="G30" s="234">
        <v>0.2</v>
      </c>
      <c r="H30" s="258" t="s">
        <v>225</v>
      </c>
      <c r="I30" s="263">
        <v>0.1</v>
      </c>
      <c r="J30" s="235">
        <f>IF(D30=C67,E30*G30,'Storage(All)'!E22)</f>
        <v>1.0600000000000003</v>
      </c>
      <c r="L30" s="262" t="s">
        <v>248</v>
      </c>
    </row>
    <row r="31" spans="2:19" ht="12.95" customHeight="1" thickBot="1" x14ac:dyDescent="0.25">
      <c r="B31" s="232"/>
      <c r="C31" s="801" t="s">
        <v>165</v>
      </c>
      <c r="D31" s="816"/>
      <c r="E31" s="232">
        <v>1</v>
      </c>
      <c r="F31" s="232" t="s">
        <v>60</v>
      </c>
      <c r="G31" s="234">
        <v>15</v>
      </c>
      <c r="H31" s="797"/>
      <c r="I31" s="797"/>
      <c r="J31" s="235">
        <f t="shared" si="1"/>
        <v>15</v>
      </c>
      <c r="L31" s="240"/>
    </row>
    <row r="32" spans="2:19" ht="12.95" customHeight="1" thickBot="1" x14ac:dyDescent="0.25">
      <c r="B32" s="232"/>
      <c r="C32" s="260" t="s">
        <v>345</v>
      </c>
      <c r="D32" s="252" t="s">
        <v>252</v>
      </c>
      <c r="E32" s="253">
        <v>1</v>
      </c>
      <c r="F32" s="232" t="s">
        <v>60</v>
      </c>
      <c r="G32" s="234">
        <v>140</v>
      </c>
      <c r="H32" s="258" t="s">
        <v>253</v>
      </c>
      <c r="I32" s="263">
        <v>0.25</v>
      </c>
      <c r="J32" s="235">
        <f>IF(D32=C70,E32*G32,J6*I32)</f>
        <v>140</v>
      </c>
      <c r="L32" s="247" t="s">
        <v>247</v>
      </c>
    </row>
    <row r="33" spans="2:12" ht="12.95" customHeight="1" x14ac:dyDescent="0.2">
      <c r="B33" s="232"/>
      <c r="C33" s="801" t="s">
        <v>349</v>
      </c>
      <c r="D33" s="815"/>
      <c r="E33" s="232">
        <v>1</v>
      </c>
      <c r="F33" s="244" t="s">
        <v>60</v>
      </c>
      <c r="G33" s="234">
        <v>0</v>
      </c>
      <c r="H33" s="788"/>
      <c r="I33" s="788"/>
      <c r="J33" s="235">
        <f>E33*G33</f>
        <v>0</v>
      </c>
      <c r="L33" s="247"/>
    </row>
    <row r="34" spans="2:12" ht="12.95" customHeight="1" x14ac:dyDescent="0.2">
      <c r="B34" s="232"/>
      <c r="C34" s="801" t="s">
        <v>160</v>
      </c>
      <c r="D34" s="802"/>
      <c r="E34" s="232">
        <v>1</v>
      </c>
      <c r="F34" s="232" t="s">
        <v>60</v>
      </c>
      <c r="G34" s="234">
        <v>10</v>
      </c>
      <c r="H34" s="788"/>
      <c r="I34" s="788"/>
      <c r="J34" s="235">
        <f t="shared" si="1"/>
        <v>10</v>
      </c>
    </row>
    <row r="35" spans="2:12" ht="12.95" customHeight="1" x14ac:dyDescent="0.2">
      <c r="B35" s="232"/>
      <c r="C35" s="801" t="s">
        <v>61</v>
      </c>
      <c r="D35" s="802"/>
      <c r="E35" s="264">
        <f>SUM(J12:J34)-J30-J29-(SUM('Machinery Calculations (SB)'!U47:U51,'Machinery Calculations (SB)'!V47:V51,'Machinery Calculations (SB)'!W47:W51,'Machinery Calculations (SB)'!X47:X51,'Machinery Calculations (SB)'!Z47:Z51))</f>
        <v>350.42758724167425</v>
      </c>
      <c r="F35" s="232" t="s">
        <v>62</v>
      </c>
      <c r="G35" s="265">
        <v>0.06</v>
      </c>
      <c r="H35" s="258" t="s">
        <v>81</v>
      </c>
      <c r="I35" s="266">
        <v>6</v>
      </c>
      <c r="J35" s="237">
        <f>E35*G35*(I35/12)</f>
        <v>10.512827617250228</v>
      </c>
      <c r="L35" s="251"/>
    </row>
    <row r="36" spans="2:12" ht="12.95" customHeight="1" x14ac:dyDescent="0.2">
      <c r="B36" s="812" t="s">
        <v>63</v>
      </c>
      <c r="C36" s="813"/>
      <c r="D36" s="814"/>
      <c r="E36" s="232"/>
      <c r="F36" s="232"/>
      <c r="G36" s="232"/>
      <c r="H36" s="803"/>
      <c r="I36" s="803"/>
      <c r="J36" s="239">
        <f>SUM(J12:J35)</f>
        <v>382.73237692187428</v>
      </c>
    </row>
    <row r="37" spans="2:12" ht="7.5" customHeight="1" x14ac:dyDescent="0.2">
      <c r="B37" s="807"/>
      <c r="C37" s="808"/>
      <c r="D37" s="808"/>
      <c r="E37" s="808"/>
      <c r="F37" s="808"/>
      <c r="G37" s="808"/>
      <c r="H37" s="808"/>
      <c r="I37" s="808"/>
      <c r="J37" s="809"/>
    </row>
    <row r="38" spans="2:12" ht="15.75" x14ac:dyDescent="0.2">
      <c r="B38" s="828" t="s">
        <v>64</v>
      </c>
      <c r="C38" s="805"/>
      <c r="D38" s="805"/>
      <c r="E38" s="805"/>
      <c r="F38" s="805"/>
      <c r="G38" s="805"/>
      <c r="H38" s="805"/>
      <c r="I38" s="806"/>
      <c r="J38" s="267">
        <f>J9-J36</f>
        <v>141.66762307812581</v>
      </c>
    </row>
    <row r="39" spans="2:12" ht="7.5" customHeight="1" x14ac:dyDescent="0.2">
      <c r="B39" s="807"/>
      <c r="C39" s="808"/>
      <c r="D39" s="808"/>
      <c r="E39" s="808"/>
      <c r="F39" s="808"/>
      <c r="G39" s="808"/>
      <c r="H39" s="808"/>
      <c r="I39" s="808"/>
      <c r="J39" s="809"/>
    </row>
    <row r="40" spans="2:12" ht="12.95" customHeight="1" x14ac:dyDescent="0.2">
      <c r="B40" s="812" t="s">
        <v>65</v>
      </c>
      <c r="C40" s="813"/>
      <c r="D40" s="814"/>
      <c r="E40" s="804"/>
      <c r="F40" s="805"/>
      <c r="G40" s="805"/>
      <c r="H40" s="805"/>
      <c r="I40" s="805"/>
      <c r="J40" s="806"/>
    </row>
    <row r="41" spans="2:12" ht="12.95" customHeight="1" x14ac:dyDescent="0.2">
      <c r="B41" s="232"/>
      <c r="C41" s="842" t="s">
        <v>114</v>
      </c>
      <c r="D41" s="843"/>
      <c r="E41" s="248">
        <v>1</v>
      </c>
      <c r="F41" s="248" t="s">
        <v>60</v>
      </c>
      <c r="G41" s="249">
        <v>0</v>
      </c>
      <c r="H41" s="783" t="s">
        <v>91</v>
      </c>
      <c r="I41" s="839"/>
      <c r="J41" s="268">
        <f>IF(I21=D62,IF('Machinery Calculations (SB)'!B5='Machinery(Soybeans)'!B48,0,'Machinery Calculations (SB)'!V74),G41)</f>
        <v>0</v>
      </c>
      <c r="L41" s="251"/>
    </row>
    <row r="42" spans="2:12" ht="12.95" customHeight="1" x14ac:dyDescent="0.2">
      <c r="B42" s="232"/>
      <c r="C42" s="842" t="s">
        <v>72</v>
      </c>
      <c r="D42" s="843"/>
      <c r="E42" s="248">
        <v>1</v>
      </c>
      <c r="F42" s="248" t="s">
        <v>60</v>
      </c>
      <c r="G42" s="249">
        <v>0</v>
      </c>
      <c r="H42" s="840"/>
      <c r="I42" s="841"/>
      <c r="J42" s="268">
        <f>IF(I21=D62,'Machinery Calculations (SB)'!Y74,G42)</f>
        <v>46.531872043142378</v>
      </c>
      <c r="L42" s="228" t="s">
        <v>75</v>
      </c>
    </row>
    <row r="43" spans="2:12" ht="12.95" customHeight="1" x14ac:dyDescent="0.2">
      <c r="B43" s="232"/>
      <c r="C43" s="817" t="s">
        <v>76</v>
      </c>
      <c r="D43" s="825"/>
      <c r="E43" s="232">
        <v>1</v>
      </c>
      <c r="F43" s="232" t="s">
        <v>60</v>
      </c>
      <c r="G43" s="234">
        <v>5</v>
      </c>
      <c r="H43" s="803"/>
      <c r="I43" s="803"/>
      <c r="J43" s="235">
        <f>E43*G43</f>
        <v>5</v>
      </c>
      <c r="L43" s="251"/>
    </row>
    <row r="44" spans="2:12" ht="12.95" customHeight="1" x14ac:dyDescent="0.2">
      <c r="B44" s="232"/>
      <c r="C44" s="817" t="s">
        <v>159</v>
      </c>
      <c r="D44" s="825"/>
      <c r="E44" s="232">
        <v>1</v>
      </c>
      <c r="F44" s="232" t="s">
        <v>60</v>
      </c>
      <c r="G44" s="234">
        <v>10</v>
      </c>
      <c r="H44" s="803"/>
      <c r="I44" s="803"/>
      <c r="J44" s="237">
        <f>E44*G44</f>
        <v>10</v>
      </c>
    </row>
    <row r="45" spans="2:12" ht="15.75" x14ac:dyDescent="0.2">
      <c r="B45" s="828" t="s">
        <v>66</v>
      </c>
      <c r="C45" s="805"/>
      <c r="D45" s="805"/>
      <c r="E45" s="805"/>
      <c r="F45" s="805"/>
      <c r="G45" s="805"/>
      <c r="H45" s="805"/>
      <c r="I45" s="806"/>
      <c r="J45" s="267">
        <f>J38-SUM(J41:J44)</f>
        <v>80.135751034983429</v>
      </c>
      <c r="K45" s="228" t="s">
        <v>75</v>
      </c>
    </row>
    <row r="46" spans="2:12" ht="12.95" customHeight="1" x14ac:dyDescent="0.2">
      <c r="B46" s="807"/>
      <c r="C46" s="808"/>
      <c r="D46" s="808"/>
      <c r="E46" s="808"/>
      <c r="F46" s="808"/>
      <c r="G46" s="808"/>
      <c r="H46" s="808"/>
      <c r="I46" s="808"/>
      <c r="J46" s="809"/>
    </row>
    <row r="47" spans="2:12" ht="15.75" x14ac:dyDescent="0.2">
      <c r="B47" s="836" t="str">
        <f>"Breakeven Yield at " &amp; TEXT(G6,"$0.00") &amp;" /bushel"</f>
        <v>Breakeven Yield at $9.80 /bushel</v>
      </c>
      <c r="C47" s="837"/>
      <c r="D47" s="838"/>
      <c r="E47" s="269">
        <f>J36/G6</f>
        <v>39.054324175701453</v>
      </c>
      <c r="F47" s="833" t="s">
        <v>67</v>
      </c>
      <c r="G47" s="834"/>
      <c r="H47" s="834"/>
      <c r="I47" s="834"/>
      <c r="J47" s="835"/>
      <c r="K47" s="88"/>
      <c r="L47" s="88"/>
    </row>
    <row r="48" spans="2:12" ht="15.75" x14ac:dyDescent="0.2">
      <c r="B48" s="836" t="str">
        <f>"Breakeven Cost at " &amp; ROUND(E6,0) &amp;" bu/acre"</f>
        <v>Breakeven Cost at 53 bu/acre</v>
      </c>
      <c r="C48" s="837"/>
      <c r="D48" s="838"/>
      <c r="E48" s="271">
        <f>J36/E6</f>
        <v>7.2213656022995147</v>
      </c>
      <c r="F48" s="833" t="s">
        <v>138</v>
      </c>
      <c r="G48" s="834"/>
      <c r="H48" s="834"/>
      <c r="I48" s="834"/>
      <c r="J48" s="835"/>
      <c r="K48" s="88"/>
      <c r="L48" s="88"/>
    </row>
    <row r="49" spans="2:19" ht="15.75" x14ac:dyDescent="0.2">
      <c r="B49" s="836" t="str">
        <f>"Breakeven Cost at " &amp; ROUND(E6,0) &amp;" bu/acre"</f>
        <v>Breakeven Cost at 53 bu/acre</v>
      </c>
      <c r="C49" s="837"/>
      <c r="D49" s="838"/>
      <c r="E49" s="271">
        <f>(J36+SUM(J41:J44))/E6</f>
        <v>8.3823443200946528</v>
      </c>
      <c r="F49" s="833" t="s">
        <v>139</v>
      </c>
      <c r="G49" s="834"/>
      <c r="H49" s="834"/>
      <c r="I49" s="834"/>
      <c r="J49" s="835"/>
    </row>
    <row r="50" spans="2:19" x14ac:dyDescent="0.2">
      <c r="B50" s="832"/>
      <c r="C50" s="832"/>
      <c r="D50" s="832"/>
      <c r="E50" s="832"/>
      <c r="F50" s="832"/>
      <c r="G50" s="832"/>
      <c r="H50" s="832"/>
      <c r="I50" s="832"/>
      <c r="J50" s="832"/>
    </row>
    <row r="51" spans="2:19" x14ac:dyDescent="0.2">
      <c r="B51" s="831" t="s">
        <v>144</v>
      </c>
      <c r="C51" s="831"/>
      <c r="D51" s="831"/>
      <c r="E51" s="831"/>
      <c r="F51" s="831"/>
      <c r="G51" s="831"/>
      <c r="H51" s="831"/>
      <c r="I51" s="831"/>
      <c r="J51" s="831"/>
    </row>
    <row r="52" spans="2:19" ht="13.15" customHeight="1" x14ac:dyDescent="0.2">
      <c r="B52" s="829" t="s">
        <v>150</v>
      </c>
      <c r="C52" s="830"/>
      <c r="D52" s="830"/>
      <c r="E52" s="830"/>
      <c r="F52" s="830"/>
      <c r="G52" s="830"/>
      <c r="H52" s="830"/>
      <c r="I52" s="830"/>
      <c r="J52" s="830"/>
    </row>
    <row r="53" spans="2:19" x14ac:dyDescent="0.2">
      <c r="B53" s="829" t="s">
        <v>156</v>
      </c>
      <c r="C53" s="830"/>
      <c r="D53" s="830"/>
      <c r="E53" s="830"/>
      <c r="F53" s="830"/>
      <c r="G53" s="830"/>
      <c r="H53" s="830"/>
      <c r="I53" s="830"/>
      <c r="J53" s="830"/>
    </row>
    <row r="54" spans="2:19" x14ac:dyDescent="0.2">
      <c r="B54" s="829" t="s">
        <v>147</v>
      </c>
      <c r="C54" s="830"/>
      <c r="D54" s="830"/>
      <c r="E54" s="830"/>
      <c r="F54" s="830"/>
      <c r="G54" s="830"/>
      <c r="H54" s="830"/>
      <c r="I54" s="830"/>
      <c r="J54" s="830"/>
    </row>
    <row r="55" spans="2:19" x14ac:dyDescent="0.2">
      <c r="B55" s="830"/>
      <c r="C55" s="830"/>
      <c r="D55" s="830"/>
      <c r="E55" s="830"/>
      <c r="F55" s="830"/>
      <c r="G55" s="830"/>
      <c r="H55" s="830"/>
      <c r="I55" s="830"/>
      <c r="J55" s="830"/>
    </row>
    <row r="60" spans="2:19" ht="15.75" customHeight="1" x14ac:dyDescent="0.2"/>
    <row r="61" spans="2:19" hidden="1" x14ac:dyDescent="0.2">
      <c r="C61" s="228">
        <v>5</v>
      </c>
      <c r="D61" s="228" t="s">
        <v>90</v>
      </c>
      <c r="O61" s="88" t="s">
        <v>217</v>
      </c>
      <c r="P61" s="88" t="s">
        <v>218</v>
      </c>
      <c r="Q61" s="88" t="s">
        <v>219</v>
      </c>
      <c r="R61" s="88"/>
      <c r="S61" s="208" t="s">
        <v>195</v>
      </c>
    </row>
    <row r="62" spans="2:19" hidden="1" x14ac:dyDescent="0.2">
      <c r="C62" s="228">
        <v>6</v>
      </c>
      <c r="D62" s="228" t="s">
        <v>51</v>
      </c>
      <c r="L62" s="291" t="s">
        <v>196</v>
      </c>
      <c r="M62" s="291"/>
      <c r="N62" s="291"/>
      <c r="O62" s="273"/>
      <c r="P62" s="273"/>
      <c r="Q62" s="273"/>
      <c r="R62" s="273"/>
      <c r="S62" s="274"/>
    </row>
    <row r="63" spans="2:19" hidden="1" x14ac:dyDescent="0.2">
      <c r="C63" s="228">
        <v>7</v>
      </c>
      <c r="M63" s="88" t="s">
        <v>197</v>
      </c>
      <c r="N63" s="88"/>
      <c r="O63" s="273">
        <v>0.46</v>
      </c>
      <c r="P63" s="273"/>
      <c r="Q63" s="273"/>
      <c r="R63" s="273"/>
      <c r="S63" s="209" t="s">
        <v>198</v>
      </c>
    </row>
    <row r="64" spans="2:19" hidden="1" x14ac:dyDescent="0.2">
      <c r="C64" s="228">
        <v>8</v>
      </c>
      <c r="M64" s="88" t="s">
        <v>199</v>
      </c>
      <c r="N64" s="88"/>
      <c r="O64" s="273">
        <v>0.82</v>
      </c>
      <c r="P64" s="273"/>
      <c r="Q64" s="273"/>
      <c r="R64" s="273"/>
      <c r="S64" s="209" t="s">
        <v>200</v>
      </c>
    </row>
    <row r="65" spans="3:19" hidden="1" x14ac:dyDescent="0.2">
      <c r="M65" s="88" t="s">
        <v>201</v>
      </c>
      <c r="N65" s="88"/>
      <c r="O65" s="273">
        <v>0.32</v>
      </c>
      <c r="P65" s="273"/>
      <c r="Q65" s="273"/>
      <c r="R65" s="273"/>
      <c r="S65" s="209" t="s">
        <v>202</v>
      </c>
    </row>
    <row r="66" spans="3:19" hidden="1" x14ac:dyDescent="0.2">
      <c r="M66" s="88" t="s">
        <v>203</v>
      </c>
      <c r="N66" s="88"/>
      <c r="O66" s="273">
        <v>0.28000000000000003</v>
      </c>
      <c r="P66" s="273"/>
      <c r="Q66" s="273"/>
      <c r="R66" s="273"/>
      <c r="S66" s="209" t="s">
        <v>204</v>
      </c>
    </row>
    <row r="67" spans="3:19" hidden="1" x14ac:dyDescent="0.2">
      <c r="C67" s="88" t="s">
        <v>238</v>
      </c>
      <c r="L67" s="291" t="s">
        <v>205</v>
      </c>
      <c r="M67" s="291"/>
      <c r="N67" s="291"/>
      <c r="O67" s="273"/>
      <c r="P67" s="273"/>
      <c r="Q67" s="273"/>
      <c r="R67" s="273"/>
      <c r="S67" s="209"/>
    </row>
    <row r="68" spans="3:19" hidden="1" x14ac:dyDescent="0.2">
      <c r="C68" s="88" t="s">
        <v>249</v>
      </c>
      <c r="M68" s="88" t="s">
        <v>220</v>
      </c>
      <c r="N68" s="88"/>
      <c r="O68" s="273"/>
      <c r="P68" s="273">
        <v>0.6</v>
      </c>
      <c r="Q68" s="273"/>
      <c r="R68" s="273"/>
      <c r="S68" s="209" t="s">
        <v>206</v>
      </c>
    </row>
    <row r="69" spans="3:19" hidden="1" x14ac:dyDescent="0.2">
      <c r="M69" s="88" t="s">
        <v>207</v>
      </c>
      <c r="N69" s="88"/>
      <c r="O69" s="273"/>
      <c r="P69" s="273">
        <v>0.5</v>
      </c>
      <c r="Q69" s="273"/>
      <c r="R69" s="273"/>
      <c r="S69" s="209" t="s">
        <v>208</v>
      </c>
    </row>
    <row r="70" spans="3:19" hidden="1" x14ac:dyDescent="0.2">
      <c r="C70" s="88" t="s">
        <v>252</v>
      </c>
      <c r="L70" s="291" t="s">
        <v>209</v>
      </c>
      <c r="M70" s="291"/>
      <c r="N70" s="291"/>
      <c r="O70" s="273"/>
      <c r="P70" s="273"/>
      <c r="Q70" s="273"/>
      <c r="R70" s="273"/>
      <c r="S70" s="275"/>
    </row>
    <row r="71" spans="3:19" hidden="1" x14ac:dyDescent="0.2">
      <c r="C71" s="88" t="s">
        <v>253</v>
      </c>
      <c r="M71" s="88" t="s">
        <v>210</v>
      </c>
      <c r="N71" s="88"/>
      <c r="O71" s="273">
        <v>0.11</v>
      </c>
      <c r="P71" s="273"/>
      <c r="Q71" s="273">
        <v>0.52</v>
      </c>
      <c r="R71" s="273"/>
      <c r="S71" s="209" t="s">
        <v>211</v>
      </c>
    </row>
    <row r="72" spans="3:19" hidden="1" x14ac:dyDescent="0.2">
      <c r="M72" s="88" t="s">
        <v>212</v>
      </c>
      <c r="N72" s="88"/>
      <c r="O72" s="273">
        <v>0.18</v>
      </c>
      <c r="P72" s="273"/>
      <c r="Q72" s="273">
        <v>0.46</v>
      </c>
      <c r="R72" s="273"/>
      <c r="S72" s="209" t="s">
        <v>213</v>
      </c>
    </row>
    <row r="73" spans="3:19" hidden="1" x14ac:dyDescent="0.2">
      <c r="C73" s="270" t="s">
        <v>244</v>
      </c>
      <c r="F73" s="229"/>
      <c r="M73" s="88" t="s">
        <v>214</v>
      </c>
      <c r="N73" s="88"/>
      <c r="O73" s="273">
        <v>0.1</v>
      </c>
      <c r="P73" s="273"/>
      <c r="Q73" s="273">
        <v>0.34</v>
      </c>
      <c r="R73" s="273"/>
      <c r="S73" s="209" t="s">
        <v>214</v>
      </c>
    </row>
    <row r="74" spans="3:19" hidden="1" x14ac:dyDescent="0.2">
      <c r="C74" s="88" t="s">
        <v>273</v>
      </c>
      <c r="L74" s="291" t="s">
        <v>215</v>
      </c>
      <c r="M74" s="291"/>
      <c r="N74" s="291"/>
      <c r="O74" s="273"/>
      <c r="P74" s="273"/>
      <c r="Q74" s="273"/>
      <c r="R74" s="273"/>
      <c r="S74" s="276"/>
    </row>
    <row r="75" spans="3:19" hidden="1" x14ac:dyDescent="0.2">
      <c r="M75" s="88" t="s">
        <v>221</v>
      </c>
      <c r="N75" s="88"/>
      <c r="O75" s="273">
        <v>0.19</v>
      </c>
      <c r="P75" s="273">
        <v>0.19</v>
      </c>
      <c r="Q75" s="273">
        <v>0.19</v>
      </c>
      <c r="R75" s="273"/>
      <c r="S75" s="209" t="s">
        <v>216</v>
      </c>
    </row>
    <row r="76" spans="3:19" hidden="1" x14ac:dyDescent="0.2">
      <c r="C76" s="277" t="str">
        <f>IF(D26=C83,C74,C27)</f>
        <v>Include Trucking in Machinery Costs</v>
      </c>
      <c r="D76" s="277"/>
      <c r="F76" s="229"/>
      <c r="G76" s="229"/>
      <c r="H76" s="229"/>
    </row>
    <row r="77" spans="3:19" hidden="1" x14ac:dyDescent="0.2">
      <c r="C77" s="229"/>
      <c r="F77" s="229"/>
      <c r="G77" s="229"/>
      <c r="H77" s="229"/>
      <c r="M77" s="229"/>
      <c r="N77" s="229"/>
      <c r="O77" s="278"/>
    </row>
    <row r="78" spans="3:19" hidden="1" x14ac:dyDescent="0.2">
      <c r="C78" s="279" t="s">
        <v>269</v>
      </c>
      <c r="M78" s="229"/>
      <c r="N78" s="229"/>
      <c r="O78" s="270"/>
    </row>
    <row r="79" spans="3:19" hidden="1" x14ac:dyDescent="0.2">
      <c r="C79" s="279" t="s">
        <v>270</v>
      </c>
      <c r="M79" s="229"/>
      <c r="N79" s="229"/>
      <c r="O79" s="270"/>
    </row>
    <row r="80" spans="3:19" hidden="1" x14ac:dyDescent="0.2">
      <c r="C80" s="279" t="s">
        <v>271</v>
      </c>
    </row>
    <row r="81" spans="3:19" hidden="1" x14ac:dyDescent="0.2">
      <c r="C81" s="279" t="s">
        <v>272</v>
      </c>
      <c r="O81" s="140"/>
      <c r="P81" s="182"/>
      <c r="Q81" s="134"/>
      <c r="R81" s="182"/>
      <c r="S81" s="182"/>
    </row>
    <row r="82" spans="3:19" hidden="1" x14ac:dyDescent="0.2"/>
    <row r="83" spans="3:19" hidden="1" x14ac:dyDescent="0.2">
      <c r="C83" s="88" t="s">
        <v>238</v>
      </c>
    </row>
    <row r="84" spans="3:19" hidden="1" x14ac:dyDescent="0.2">
      <c r="C84" s="272" t="s">
        <v>222</v>
      </c>
    </row>
    <row r="85" spans="3:19" hidden="1" x14ac:dyDescent="0.2"/>
    <row r="86" spans="3:19" hidden="1" x14ac:dyDescent="0.2">
      <c r="C86" s="228" t="s">
        <v>312</v>
      </c>
    </row>
    <row r="87" spans="3:19" hidden="1" x14ac:dyDescent="0.2">
      <c r="C87" s="228" t="s">
        <v>310</v>
      </c>
    </row>
    <row r="88" spans="3:19" hidden="1" x14ac:dyDescent="0.2">
      <c r="C88" s="228" t="s">
        <v>313</v>
      </c>
    </row>
    <row r="89" spans="3:19" hidden="1" x14ac:dyDescent="0.2">
      <c r="C89" s="228" t="s">
        <v>311</v>
      </c>
    </row>
  </sheetData>
  <sheetProtection formatCells="0" formatColumns="0" formatRows="0"/>
  <mergeCells count="91">
    <mergeCell ref="H34:I34"/>
    <mergeCell ref="E40:J40"/>
    <mergeCell ref="B40:D40"/>
    <mergeCell ref="I21:I25"/>
    <mergeCell ref="C19:D19"/>
    <mergeCell ref="C20:D20"/>
    <mergeCell ref="C28:D28"/>
    <mergeCell ref="C25:D25"/>
    <mergeCell ref="C24:D24"/>
    <mergeCell ref="C23:D23"/>
    <mergeCell ref="H19:I19"/>
    <mergeCell ref="H28:I28"/>
    <mergeCell ref="H20:I20"/>
    <mergeCell ref="C27:D27"/>
    <mergeCell ref="C21:D21"/>
    <mergeCell ref="C22:D22"/>
    <mergeCell ref="B45:I45"/>
    <mergeCell ref="F47:J47"/>
    <mergeCell ref="B46:J46"/>
    <mergeCell ref="H41:I42"/>
    <mergeCell ref="H43:I43"/>
    <mergeCell ref="H44:I44"/>
    <mergeCell ref="C44:D44"/>
    <mergeCell ref="C43:D43"/>
    <mergeCell ref="C42:D42"/>
    <mergeCell ref="C41:D41"/>
    <mergeCell ref="B50:J50"/>
    <mergeCell ref="F48:J48"/>
    <mergeCell ref="B49:D49"/>
    <mergeCell ref="B48:D48"/>
    <mergeCell ref="B47:D47"/>
    <mergeCell ref="F49:J49"/>
    <mergeCell ref="B52:J52"/>
    <mergeCell ref="B55:J55"/>
    <mergeCell ref="B51:J51"/>
    <mergeCell ref="B53:J53"/>
    <mergeCell ref="B54:J54"/>
    <mergeCell ref="H36:I36"/>
    <mergeCell ref="B38:I38"/>
    <mergeCell ref="B37:J37"/>
    <mergeCell ref="B39:J39"/>
    <mergeCell ref="B36:D36"/>
    <mergeCell ref="B2:J2"/>
    <mergeCell ref="H4:I4"/>
    <mergeCell ref="H6:I6"/>
    <mergeCell ref="H8:I8"/>
    <mergeCell ref="E5:J5"/>
    <mergeCell ref="H7:I7"/>
    <mergeCell ref="B3:J3"/>
    <mergeCell ref="C8:D8"/>
    <mergeCell ref="C7:D7"/>
    <mergeCell ref="C6:D6"/>
    <mergeCell ref="C4:D4"/>
    <mergeCell ref="B5:D5"/>
    <mergeCell ref="C18:D18"/>
    <mergeCell ref="C33:D33"/>
    <mergeCell ref="C31:D31"/>
    <mergeCell ref="C34:D34"/>
    <mergeCell ref="C29:D29"/>
    <mergeCell ref="I26:I27"/>
    <mergeCell ref="C35:D35"/>
    <mergeCell ref="H9:I9"/>
    <mergeCell ref="H12:I12"/>
    <mergeCell ref="E11:J11"/>
    <mergeCell ref="H17:I17"/>
    <mergeCell ref="H18:I18"/>
    <mergeCell ref="B10:J10"/>
    <mergeCell ref="H16:I16"/>
    <mergeCell ref="C12:D12"/>
    <mergeCell ref="C14:D14"/>
    <mergeCell ref="C15:D15"/>
    <mergeCell ref="C16:D16"/>
    <mergeCell ref="C17:D17"/>
    <mergeCell ref="B9:D9"/>
    <mergeCell ref="B11:D11"/>
    <mergeCell ref="H21:H25"/>
    <mergeCell ref="C13:D13"/>
    <mergeCell ref="H33:I33"/>
    <mergeCell ref="V11:V12"/>
    <mergeCell ref="U11:U12"/>
    <mergeCell ref="T11:T12"/>
    <mergeCell ref="S11:S12"/>
    <mergeCell ref="R11:R12"/>
    <mergeCell ref="P11:P12"/>
    <mergeCell ref="Q11:Q12"/>
    <mergeCell ref="O11:O12"/>
    <mergeCell ref="N11:N12"/>
    <mergeCell ref="H13:I15"/>
    <mergeCell ref="L11:M12"/>
    <mergeCell ref="H31:I31"/>
    <mergeCell ref="H26:H27"/>
  </mergeCells>
  <phoneticPr fontId="6" type="noConversion"/>
  <conditionalFormatting sqref="E41:G42 E21:G25">
    <cfRule type="expression" dxfId="25" priority="346">
      <formula>$I$21=$D$62</formula>
    </cfRule>
  </conditionalFormatting>
  <conditionalFormatting sqref="E41:F42">
    <cfRule type="expression" dxfId="24" priority="349">
      <formula>$I$21=$D$61</formula>
    </cfRule>
  </conditionalFormatting>
  <conditionalFormatting sqref="C27:G27 H26:I27 J27">
    <cfRule type="expression" dxfId="23" priority="353">
      <formula>$I$21=$D$61</formula>
    </cfRule>
  </conditionalFormatting>
  <conditionalFormatting sqref="H32:I32">
    <cfRule type="expression" dxfId="22" priority="368">
      <formula>$D$32=$C$70</formula>
    </cfRule>
  </conditionalFormatting>
  <conditionalFormatting sqref="E32:G32">
    <cfRule type="expression" dxfId="21" priority="369">
      <formula>$D$32=$C$71</formula>
    </cfRule>
  </conditionalFormatting>
  <conditionalFormatting sqref="E30:G30">
    <cfRule type="expression" dxfId="20" priority="373">
      <formula>$D$30=$C$68</formula>
    </cfRule>
  </conditionalFormatting>
  <conditionalFormatting sqref="H26:H27">
    <cfRule type="expression" dxfId="19" priority="374">
      <formula>$D$26=#REF!</formula>
    </cfRule>
  </conditionalFormatting>
  <conditionalFormatting sqref="C27:G27 H26:I27">
    <cfRule type="expression" dxfId="18" priority="378">
      <formula>$D$26=$C$83</formula>
    </cfRule>
  </conditionalFormatting>
  <conditionalFormatting sqref="E26:G26">
    <cfRule type="expression" dxfId="17" priority="383">
      <formula>$D$26=$C$84</formula>
    </cfRule>
  </conditionalFormatting>
  <dataValidations count="8">
    <dataValidation type="list" allowBlank="1" showInputMessage="1" showErrorMessage="1" sqref="M15">
      <formula1>$M$68:$M$69</formula1>
    </dataValidation>
    <dataValidation type="list" allowBlank="1" showInputMessage="1" showErrorMessage="1" sqref="M14">
      <formula1>$M$71:$M$73</formula1>
    </dataValidation>
    <dataValidation type="list" allowBlank="1" showInputMessage="1" showErrorMessage="1" sqref="I35">
      <formula1>$C$61:$C$64</formula1>
    </dataValidation>
    <dataValidation type="list" allowBlank="1" showInputMessage="1" showErrorMessage="1" sqref="I21">
      <formula1>$D$61:$D$62</formula1>
    </dataValidation>
    <dataValidation type="list" allowBlank="1" showInputMessage="1" showErrorMessage="1" sqref="D32:D33">
      <formula1>$C$70:$C$71</formula1>
    </dataValidation>
    <dataValidation type="list" allowBlank="1" showInputMessage="1" showErrorMessage="1" sqref="D30">
      <formula1>$C$67:$C$68</formula1>
    </dataValidation>
    <dataValidation type="list" allowBlank="1" showInputMessage="1" showErrorMessage="1" sqref="C27">
      <formula1>$C$73:$C$74</formula1>
    </dataValidation>
    <dataValidation type="list" allowBlank="1" showInputMessage="1" showErrorMessage="1" sqref="D26">
      <formula1>$C$83:$C$84</formula1>
    </dataValidation>
  </dataValidations>
  <pageMargins left="0.75" right="0.75" top="1" bottom="1" header="0.5" footer="0.5"/>
  <pageSetup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8"/>
  <sheetViews>
    <sheetView showGridLines="0" workbookViewId="0">
      <selection activeCell="J66" sqref="J66"/>
    </sheetView>
  </sheetViews>
  <sheetFormatPr defaultRowHeight="12.75" x14ac:dyDescent="0.2"/>
  <cols>
    <col min="1" max="1" width="3.7109375" customWidth="1"/>
    <col min="2" max="2" width="37.28515625" customWidth="1"/>
    <col min="3" max="5" width="8.28515625" customWidth="1"/>
    <col min="6" max="6" width="3.7109375" customWidth="1"/>
    <col min="7" max="8" width="14.7109375" customWidth="1"/>
    <col min="9" max="9" width="17.28515625" customWidth="1"/>
    <col min="10" max="11" width="14.7109375" customWidth="1"/>
    <col min="12" max="12" width="11.85546875" customWidth="1"/>
    <col min="13" max="13" width="3.7109375" customWidth="1"/>
    <col min="14" max="14" width="21.85546875" customWidth="1"/>
  </cols>
  <sheetData>
    <row r="2" spans="2:14" ht="15.75" x14ac:dyDescent="0.25">
      <c r="B2" s="767" t="s">
        <v>418</v>
      </c>
      <c r="C2" s="767"/>
      <c r="D2" s="767"/>
      <c r="E2" s="767"/>
      <c r="F2" s="767"/>
      <c r="G2" s="767"/>
      <c r="H2" s="767"/>
      <c r="I2" s="767"/>
      <c r="J2" s="767"/>
      <c r="K2" s="767"/>
      <c r="L2" s="767"/>
      <c r="M2" s="169"/>
      <c r="N2" s="169"/>
    </row>
    <row r="3" spans="2:14" ht="5.0999999999999996" customHeight="1" x14ac:dyDescent="0.25">
      <c r="B3" s="861"/>
      <c r="C3" s="861"/>
      <c r="D3" s="861"/>
      <c r="E3" s="861"/>
      <c r="F3" s="861"/>
      <c r="G3" s="861"/>
      <c r="H3" s="861"/>
      <c r="I3" s="861"/>
      <c r="J3" s="861"/>
      <c r="K3" s="861"/>
      <c r="L3" s="861"/>
      <c r="M3" s="169"/>
      <c r="N3" s="169"/>
    </row>
    <row r="4" spans="2:14" ht="12.95" customHeight="1" x14ac:dyDescent="0.2">
      <c r="B4" s="20"/>
      <c r="C4" s="701"/>
      <c r="D4" s="701"/>
      <c r="E4" s="669" t="s">
        <v>127</v>
      </c>
      <c r="F4" s="669"/>
      <c r="G4" s="669"/>
      <c r="H4" s="669"/>
      <c r="I4" s="669"/>
      <c r="J4" s="669"/>
      <c r="K4" s="669"/>
      <c r="L4" s="669"/>
      <c r="M4" s="38"/>
      <c r="N4" s="38"/>
    </row>
    <row r="5" spans="2:14" ht="12.95" customHeight="1" x14ac:dyDescent="0.2">
      <c r="B5" s="20" t="s">
        <v>161</v>
      </c>
      <c r="C5" s="860">
        <f>'Machinery(GMO)'!C5</f>
        <v>1.75</v>
      </c>
      <c r="D5" s="860"/>
      <c r="E5" s="670" t="s">
        <v>317</v>
      </c>
      <c r="F5" s="670"/>
      <c r="G5" s="670"/>
      <c r="H5" s="670"/>
      <c r="I5" s="670"/>
      <c r="J5" s="670"/>
      <c r="K5" s="670"/>
      <c r="L5" s="670"/>
    </row>
    <row r="6" spans="2:14" ht="12.95" customHeight="1" x14ac:dyDescent="0.2">
      <c r="B6" s="20" t="s">
        <v>162</v>
      </c>
      <c r="C6" s="860">
        <f>'Machinery(GMO)'!C6</f>
        <v>15</v>
      </c>
      <c r="D6" s="860"/>
      <c r="E6" s="670" t="s">
        <v>100</v>
      </c>
      <c r="F6" s="670"/>
      <c r="G6" s="670"/>
      <c r="H6" s="670"/>
      <c r="I6" s="670"/>
      <c r="J6" s="670"/>
      <c r="K6" s="670"/>
      <c r="L6" s="670"/>
      <c r="M6" s="16"/>
    </row>
    <row r="7" spans="2:14" ht="12.95" customHeight="1" x14ac:dyDescent="0.2">
      <c r="B7" s="20" t="s">
        <v>124</v>
      </c>
      <c r="C7" s="860" t="str">
        <f>'Machinery(GMO)'!C7</f>
        <v>Y</v>
      </c>
      <c r="D7" s="860"/>
      <c r="E7" s="670" t="s">
        <v>254</v>
      </c>
      <c r="F7" s="670"/>
      <c r="G7" s="670"/>
      <c r="H7" s="670"/>
      <c r="I7" s="670"/>
      <c r="J7" s="670"/>
      <c r="K7" s="670"/>
      <c r="L7" s="670"/>
    </row>
    <row r="8" spans="2:14" ht="12.95" customHeight="1" x14ac:dyDescent="0.2">
      <c r="B8" s="20" t="s">
        <v>163</v>
      </c>
      <c r="C8" s="860">
        <f>'Machinery(GMO)'!C8</f>
        <v>12.5</v>
      </c>
      <c r="D8" s="860"/>
      <c r="E8" s="670" t="s">
        <v>99</v>
      </c>
      <c r="F8" s="670"/>
      <c r="G8" s="670"/>
      <c r="H8" s="670"/>
      <c r="I8" s="670"/>
      <c r="J8" s="670"/>
      <c r="K8" s="670"/>
      <c r="L8" s="670"/>
    </row>
    <row r="9" spans="2:14" ht="12.95" customHeight="1" thickBot="1" x14ac:dyDescent="0.25">
      <c r="B9" s="20" t="s">
        <v>70</v>
      </c>
      <c r="C9" s="870">
        <f>'Machinery(GMO)'!C9</f>
        <v>0</v>
      </c>
      <c r="D9" s="870"/>
      <c r="E9" s="670" t="s">
        <v>107</v>
      </c>
      <c r="F9" s="670"/>
      <c r="G9" s="670"/>
      <c r="H9" s="670"/>
      <c r="I9" s="670"/>
      <c r="J9" s="670"/>
      <c r="K9" s="670"/>
      <c r="L9" s="670"/>
    </row>
    <row r="10" spans="2:14" ht="12.95" customHeight="1" thickBot="1" x14ac:dyDescent="0.25">
      <c r="B10" s="113" t="s">
        <v>328</v>
      </c>
      <c r="C10" s="878" t="s">
        <v>366</v>
      </c>
      <c r="D10" s="878"/>
      <c r="E10" s="774" t="s">
        <v>427</v>
      </c>
      <c r="F10" s="697"/>
      <c r="G10" s="697"/>
      <c r="H10" s="697"/>
      <c r="I10" s="697"/>
      <c r="J10" s="697"/>
      <c r="K10" s="697"/>
      <c r="L10" s="697"/>
    </row>
    <row r="11" spans="2:14" ht="12.95" customHeight="1" x14ac:dyDescent="0.2">
      <c r="B11" s="65" t="s">
        <v>143</v>
      </c>
      <c r="C11" s="192">
        <v>0.75</v>
      </c>
      <c r="D11" s="193">
        <v>0.75</v>
      </c>
      <c r="E11" s="697" t="s">
        <v>343</v>
      </c>
      <c r="F11" s="697"/>
      <c r="G11" s="697"/>
      <c r="H11" s="697"/>
      <c r="I11" s="697"/>
      <c r="J11" s="697"/>
      <c r="K11" s="697"/>
      <c r="L11" s="697"/>
    </row>
    <row r="12" spans="2:14" ht="12.95" customHeight="1" x14ac:dyDescent="0.2">
      <c r="B12" s="65" t="s">
        <v>405</v>
      </c>
      <c r="C12" s="155">
        <v>0.35</v>
      </c>
      <c r="D12" s="307">
        <v>0.35</v>
      </c>
      <c r="E12" s="697" t="s">
        <v>406</v>
      </c>
      <c r="F12" s="697"/>
      <c r="G12" s="697"/>
      <c r="H12" s="697"/>
      <c r="I12" s="697"/>
      <c r="J12" s="697"/>
      <c r="K12" s="697"/>
      <c r="L12" s="697"/>
    </row>
    <row r="14" spans="2:14" ht="15.75" x14ac:dyDescent="0.25">
      <c r="B14" s="767" t="str">
        <f>IF(Soybeans!I21=Soybeans!D62,"Machinery Operations - Soybeans","Machinery Calculations is not currently visible because user has selected N for Calculate Machinery Costs. This can be changed on the Soybean sheet.")</f>
        <v>Machinery Operations - Soybeans</v>
      </c>
      <c r="C14" s="767"/>
      <c r="D14" s="767"/>
      <c r="E14" s="767"/>
      <c r="F14" s="767"/>
      <c r="G14" s="767"/>
      <c r="H14" s="767"/>
      <c r="I14" s="767"/>
      <c r="J14" s="767"/>
      <c r="K14" s="767"/>
      <c r="L14" s="767"/>
      <c r="N14" s="16"/>
    </row>
    <row r="15" spans="2:14" ht="5.0999999999999996" customHeight="1" thickBot="1" x14ac:dyDescent="0.3">
      <c r="B15" s="861"/>
      <c r="C15" s="875"/>
      <c r="D15" s="875"/>
      <c r="E15" s="875"/>
      <c r="F15" s="861"/>
      <c r="G15" s="861"/>
      <c r="H15" s="861"/>
      <c r="I15" s="861"/>
      <c r="J15" s="861"/>
      <c r="K15" s="861"/>
      <c r="L15" s="861"/>
    </row>
    <row r="16" spans="2:14" ht="12.95" customHeight="1" thickBot="1" x14ac:dyDescent="0.3">
      <c r="B16" s="189" t="s">
        <v>245</v>
      </c>
      <c r="C16" s="882" t="s">
        <v>226</v>
      </c>
      <c r="D16" s="882"/>
      <c r="E16" s="882"/>
      <c r="F16" s="185"/>
      <c r="G16" s="874" t="s">
        <v>387</v>
      </c>
      <c r="H16" s="874"/>
      <c r="I16" s="874"/>
      <c r="J16" s="874"/>
      <c r="K16" s="874"/>
      <c r="L16" s="874"/>
    </row>
    <row r="17" spans="2:14" ht="12.95" customHeight="1" thickBot="1" x14ac:dyDescent="0.25">
      <c r="B17" s="189" t="s">
        <v>390</v>
      </c>
      <c r="C17" s="881" t="s">
        <v>366</v>
      </c>
      <c r="D17" s="881"/>
      <c r="E17" s="881"/>
      <c r="F17" s="190"/>
      <c r="G17" s="874" t="s">
        <v>388</v>
      </c>
      <c r="H17" s="874"/>
      <c r="I17" s="874"/>
      <c r="J17" s="874"/>
      <c r="K17" s="874"/>
      <c r="L17" s="874"/>
    </row>
    <row r="18" spans="2:14" ht="5.0999999999999996" customHeight="1" thickBot="1" x14ac:dyDescent="0.25">
      <c r="B18" s="865"/>
      <c r="C18" s="866"/>
      <c r="D18" s="866"/>
      <c r="E18" s="866"/>
      <c r="F18" s="867"/>
      <c r="G18" s="868"/>
      <c r="H18" s="868"/>
      <c r="I18" s="868"/>
      <c r="J18" s="868"/>
      <c r="K18" s="868"/>
      <c r="L18" s="869"/>
    </row>
    <row r="19" spans="2:14" ht="12.95" customHeight="1" thickBot="1" x14ac:dyDescent="0.25">
      <c r="B19" s="20" t="s">
        <v>126</v>
      </c>
      <c r="C19" s="701"/>
      <c r="D19" s="701"/>
      <c r="E19" s="161"/>
      <c r="F19" s="113"/>
      <c r="G19" s="302" t="s">
        <v>79</v>
      </c>
      <c r="H19" s="302" t="s">
        <v>79</v>
      </c>
      <c r="I19" s="302" t="s">
        <v>79</v>
      </c>
      <c r="J19" s="302" t="s">
        <v>79</v>
      </c>
      <c r="K19" s="302" t="s">
        <v>79</v>
      </c>
      <c r="L19" s="190"/>
    </row>
    <row r="20" spans="2:14" ht="12.95" customHeight="1" x14ac:dyDescent="0.2">
      <c r="B20" s="20" t="s">
        <v>125</v>
      </c>
      <c r="C20" s="701"/>
      <c r="D20" s="701"/>
      <c r="E20" s="879" t="s">
        <v>50</v>
      </c>
      <c r="F20" s="20"/>
      <c r="G20" s="194">
        <v>0</v>
      </c>
      <c r="H20" s="198">
        <v>0</v>
      </c>
      <c r="I20" s="198">
        <v>0</v>
      </c>
      <c r="J20" s="198">
        <v>0</v>
      </c>
      <c r="K20" s="198">
        <v>0</v>
      </c>
      <c r="L20" s="20"/>
    </row>
    <row r="21" spans="2:14" ht="12.95" customHeight="1" thickBot="1" x14ac:dyDescent="0.25">
      <c r="B21" s="20"/>
      <c r="C21" s="876" t="s">
        <v>232</v>
      </c>
      <c r="D21" s="877"/>
      <c r="E21" s="880"/>
      <c r="F21" s="20"/>
      <c r="G21" s="84" t="s">
        <v>233</v>
      </c>
      <c r="H21" s="84" t="s">
        <v>8</v>
      </c>
      <c r="I21" s="84" t="s">
        <v>323</v>
      </c>
      <c r="J21" s="84" t="s">
        <v>234</v>
      </c>
      <c r="K21" s="84" t="s">
        <v>50</v>
      </c>
      <c r="L21" s="89" t="s">
        <v>246</v>
      </c>
    </row>
    <row r="22" spans="2:14" ht="12.95" customHeight="1" thickBot="1" x14ac:dyDescent="0.25">
      <c r="B22" s="65" t="s">
        <v>142</v>
      </c>
      <c r="C22" s="122">
        <f>IF(C16=B59,'Machinery Calculations (SB)'!B34,'Machinery Calculations (SB)'!C41)</f>
        <v>1</v>
      </c>
      <c r="D22" s="196">
        <v>1</v>
      </c>
      <c r="E22" s="306" t="s">
        <v>90</v>
      </c>
      <c r="F22" s="190"/>
      <c r="G22" s="151">
        <f>IF(C16=B59,'Machinery Calculations (SB)'!U34,'Machinery Calculations (SB)'!U41)</f>
        <v>1.6014468749999997</v>
      </c>
      <c r="H22" s="151">
        <f>IF(C16=B59,'Machinery Calculations (SB)'!X34,'Machinery Calculations (SB)'!X41)</f>
        <v>5.2568648229166666</v>
      </c>
      <c r="I22" s="151">
        <f>IF(C16=B59,'Machinery Calculations (SB)'!Y34,'Machinery Calculations (SB)'!Y41)</f>
        <v>10.673028579861111</v>
      </c>
      <c r="J22" s="151">
        <f>IF(C16=B59,'Machinery Calculations (SB)'!V34+'Machinery Calculations (SB)'!W34,'Machinery Calculations (SB)'!V41+'Machinery Calculations (SB)'!W41)</f>
        <v>1.7697222222222222</v>
      </c>
      <c r="K22" s="151">
        <f>IF(C16=B59,'Machinery Calculations (SB)'!Z34,'Machinery Calculations (SB)'!Z41)</f>
        <v>0</v>
      </c>
      <c r="L22" s="187">
        <f t="shared" ref="L22:L27" si="0">SUM(G22:K22)</f>
        <v>19.301062499999997</v>
      </c>
    </row>
    <row r="23" spans="2:14" ht="12.95" customHeight="1" thickBot="1" x14ac:dyDescent="0.25">
      <c r="B23" s="65" t="s">
        <v>280</v>
      </c>
      <c r="C23" s="122">
        <f>IF(C16=B59,'Machinery Calculations (SB)'!B63,'Machinery Calculations (SB)'!C63)</f>
        <v>2.5</v>
      </c>
      <c r="D23" s="196">
        <v>2</v>
      </c>
      <c r="E23" s="306" t="s">
        <v>90</v>
      </c>
      <c r="F23" s="190"/>
      <c r="G23" s="152">
        <f>'Machinery Calculations (SB)'!U63</f>
        <v>0.59494531250000005</v>
      </c>
      <c r="H23" s="152">
        <f>'Machinery Calculations (SB)'!X63</f>
        <v>5.5398414843750015</v>
      </c>
      <c r="I23" s="152">
        <f>'Machinery Calculations (SB)'!Y63</f>
        <v>11.247556953124999</v>
      </c>
      <c r="J23" s="152">
        <f>'Machinery Calculations (SB)'!V63+'Machinery Calculations (SB)'!W63</f>
        <v>1.29375</v>
      </c>
      <c r="K23" s="152">
        <f>'Machinery Calculations (SB)'!Z63</f>
        <v>0</v>
      </c>
      <c r="L23" s="187">
        <f t="shared" si="0"/>
        <v>18.67609375</v>
      </c>
    </row>
    <row r="24" spans="2:14" ht="12.95" customHeight="1" thickBot="1" x14ac:dyDescent="0.25">
      <c r="B24" s="65" t="s">
        <v>392</v>
      </c>
      <c r="C24" s="122">
        <f>IF(C16=B59,'Machinery Calculations (SB)'!B56,'Machinery Calculations (SB)'!C56)</f>
        <v>1</v>
      </c>
      <c r="D24" s="196">
        <v>1</v>
      </c>
      <c r="E24" s="306" t="s">
        <v>90</v>
      </c>
      <c r="F24" s="190"/>
      <c r="G24" s="152">
        <f>'Machinery Calculations (SB)'!U56</f>
        <v>0.65373726316015091</v>
      </c>
      <c r="H24" s="152">
        <f>'Machinery Calculations (SB)'!X56</f>
        <v>1.679687133660313</v>
      </c>
      <c r="I24" s="152">
        <f>'Machinery Calculations (SB)'!Y56</f>
        <v>3.410273877431544</v>
      </c>
      <c r="J24" s="152">
        <f>'Machinery Calculations (SB)'!V56+'Machinery Calculations (SB)'!W56</f>
        <v>0.67509212783989869</v>
      </c>
      <c r="K24" s="152">
        <f>'Machinery Calculations (SB)'!Z56</f>
        <v>0</v>
      </c>
      <c r="L24" s="187">
        <f t="shared" si="0"/>
        <v>6.4187904020919069</v>
      </c>
    </row>
    <row r="25" spans="2:14" ht="12.95" customHeight="1" thickBot="1" x14ac:dyDescent="0.25">
      <c r="B25" s="65" t="s">
        <v>305</v>
      </c>
      <c r="C25" s="122">
        <f>IF(C16=B59,'Machinery Calculations (SB)'!B48,'Machinery Calculations (SB)'!C48)</f>
        <v>1</v>
      </c>
      <c r="D25" s="196">
        <v>1</v>
      </c>
      <c r="E25" s="306" t="s">
        <v>90</v>
      </c>
      <c r="F25" s="190"/>
      <c r="G25" s="152">
        <f>'Machinery Calculations (SB)'!U48</f>
        <v>3.7865187499999999</v>
      </c>
      <c r="H25" s="152">
        <f>'Machinery Calculations (SB)'!X48</f>
        <v>8.0984000624999997</v>
      </c>
      <c r="I25" s="152">
        <f>'Machinery Calculations (SB)'!Y48</f>
        <v>16.442206187499998</v>
      </c>
      <c r="J25" s="152">
        <f>'Machinery Calculations (SB)'!V48+'Machinery Calculations (SB)'!W48</f>
        <v>2.7025000000000001</v>
      </c>
      <c r="K25" s="152">
        <f>'Machinery Calculations (SB)'!Z48</f>
        <v>0</v>
      </c>
      <c r="L25" s="187">
        <f t="shared" si="0"/>
        <v>31.029624999999999</v>
      </c>
    </row>
    <row r="26" spans="2:14" ht="12.95" customHeight="1" thickBot="1" x14ac:dyDescent="0.25">
      <c r="B26" s="65" t="s">
        <v>47</v>
      </c>
      <c r="C26" s="122">
        <f>IF(C16=B59,'Machinery Calculations (SB)'!B50,'Machinery Calculations (SB)'!C50)</f>
        <v>0.5</v>
      </c>
      <c r="D26" s="196">
        <v>0.5</v>
      </c>
      <c r="E26" s="306" t="s">
        <v>90</v>
      </c>
      <c r="F26" s="190"/>
      <c r="G26" s="152">
        <f>'Machinery Calculations (SB)'!U50</f>
        <v>0.161</v>
      </c>
      <c r="H26" s="152">
        <f>'Machinery Calculations (SB)'!X50</f>
        <v>0.56314500000000012</v>
      </c>
      <c r="I26" s="152">
        <f>'Machinery Calculations (SB)'!Y50</f>
        <v>1.1433550000000001</v>
      </c>
      <c r="J26" s="152">
        <f>'Machinery Calculations (SB)'!V50+'Machinery Calculations (SB)'!W50</f>
        <v>0.86249999999999993</v>
      </c>
      <c r="K26" s="152">
        <f>'Machinery Calculations (SB)'!Z50</f>
        <v>0</v>
      </c>
      <c r="L26" s="187">
        <f t="shared" si="0"/>
        <v>2.73</v>
      </c>
    </row>
    <row r="27" spans="2:14" ht="12.95" customHeight="1" thickBot="1" x14ac:dyDescent="0.25">
      <c r="B27" s="65" t="s">
        <v>329</v>
      </c>
      <c r="C27" s="158">
        <f>IF(C16=B59,'Machinery Calculations (SB)'!B25,'Machinery Calculations (SB)'!C25)</f>
        <v>0</v>
      </c>
      <c r="D27" s="197">
        <v>2</v>
      </c>
      <c r="E27" s="306" t="s">
        <v>90</v>
      </c>
      <c r="F27" s="191"/>
      <c r="G27" s="151">
        <f>'Machinery Calculations (SB)'!U25</f>
        <v>0</v>
      </c>
      <c r="H27" s="151">
        <f>'Machinery Calculations (SB)'!X25</f>
        <v>0</v>
      </c>
      <c r="I27" s="151">
        <f>'Machinery Calculations (SB)'!Y25</f>
        <v>0</v>
      </c>
      <c r="J27" s="151">
        <f>'Machinery Calculations (SB)'!V25+'Machinery Calculations (SB)'!W25</f>
        <v>0</v>
      </c>
      <c r="K27" s="151">
        <f>'Machinery Calculations (SB)'!Z25</f>
        <v>0</v>
      </c>
      <c r="L27" s="187">
        <f t="shared" si="0"/>
        <v>0</v>
      </c>
    </row>
    <row r="28" spans="2:14" ht="12.95" customHeight="1" thickBot="1" x14ac:dyDescent="0.25">
      <c r="B28" s="65" t="s">
        <v>291</v>
      </c>
      <c r="C28" s="132"/>
      <c r="D28" s="183"/>
      <c r="E28" s="306" t="s">
        <v>90</v>
      </c>
      <c r="F28" s="195"/>
      <c r="G28" s="151">
        <f>'Machinery Calculations (SB)'!U51</f>
        <v>1.0104868421052631</v>
      </c>
      <c r="H28" s="151">
        <f>'Machinery Calculations (SB)'!X51</f>
        <v>1.7807447416778492</v>
      </c>
      <c r="I28" s="151">
        <f>'Machinery Calculations (SB)'!Y51</f>
        <v>3.6154514452247239</v>
      </c>
      <c r="J28" s="151">
        <f>'Machinery Calculations (SB)'!V51+'Machinery Calculations (SB)'!W51</f>
        <v>1.7666666666666666</v>
      </c>
      <c r="K28" s="151">
        <f>'Machinery Calculations (SB)'!Z51</f>
        <v>0</v>
      </c>
      <c r="L28" s="187">
        <f t="shared" ref="L28" si="1">SUM(G28:K28)</f>
        <v>8.1733496956745029</v>
      </c>
    </row>
    <row r="29" spans="2:14" ht="5.0999999999999996" customHeight="1" x14ac:dyDescent="0.2">
      <c r="B29" s="850"/>
      <c r="C29" s="851"/>
      <c r="D29" s="851"/>
      <c r="E29" s="855"/>
      <c r="F29" s="851"/>
      <c r="G29" s="851"/>
      <c r="H29" s="851"/>
      <c r="I29" s="851"/>
      <c r="J29" s="851"/>
      <c r="K29" s="851"/>
      <c r="L29" s="852"/>
    </row>
    <row r="30" spans="2:14" ht="13.5" thickBot="1" x14ac:dyDescent="0.25">
      <c r="B30" s="853" t="s">
        <v>372</v>
      </c>
      <c r="C30" s="773"/>
      <c r="D30" s="773"/>
      <c r="E30" s="854"/>
      <c r="F30" s="773"/>
      <c r="G30" s="773"/>
      <c r="H30" s="773"/>
      <c r="I30" s="773"/>
      <c r="J30" s="773"/>
      <c r="K30" s="773"/>
      <c r="L30" s="774"/>
    </row>
    <row r="31" spans="2:14" ht="12.95" customHeight="1" thickBot="1" x14ac:dyDescent="0.25">
      <c r="B31" s="303" t="s">
        <v>367</v>
      </c>
      <c r="C31" s="158">
        <f>IF(B31=D49,G49,IF(B31=D50,G50,0))</f>
        <v>0</v>
      </c>
      <c r="D31" s="183">
        <v>0.5</v>
      </c>
      <c r="E31" s="306" t="s">
        <v>90</v>
      </c>
      <c r="F31" s="195"/>
      <c r="G31" s="159">
        <f>IF(B31=D48,0,IF(B31=D49,IF(C16=B59,'Machinery Calculations (SB)'!U37,'Machinery Calculations (SB)'!U44),IF(B31=D50,IF(C16=B59,'Machinery Calculations (SB)'!U36,'Machinery Calculations (SB)'!U43))))</f>
        <v>0</v>
      </c>
      <c r="H31" s="159">
        <f>IF(B31=D48,0,IF(B31=D49,IF(C16=B59,'Machinery Calculations (SB)'!X37,'Machinery Calculations (SB)'!X44),IF(B31=D50,IF(C16=B59,'Machinery Calculations (SB)'!X36,'Machinery Calculations (SB)'!X43))))</f>
        <v>0</v>
      </c>
      <c r="I31" s="159">
        <f>IF(B31=D48,0,IF(B31=D49,IF(C16=B59,'Machinery Calculations (SB)'!Y37,'Machinery Calculations (SB)'!Y44),IF(B31=D50,IF(C16=B59,'Machinery Calculations (SB)'!Y36,'Machinery Calculations (SB)'!Y43))))</f>
        <v>0</v>
      </c>
      <c r="J31" s="159">
        <f>IF(B31=D48,0,IF(B31=D49,IF(C16=B59,'Machinery Calculations (SB)'!V37+'Machinery Calculations (SB)'!W37,'Machinery Calculations (SB)'!V44+'Machinery Calculations (SB)'!W44),IF(B31=D50,IF(C16=B59,'Machinery Calculations (SB)'!V36+'Machinery Calculations (SB)'!W36,'Machinery Calculations (SB)'!V43+'Machinery Calculations (SB)'!W43))))</f>
        <v>0</v>
      </c>
      <c r="K31" s="159">
        <f>IF(B31=D48,0,IF(B31=D49,IF(C16=B59,'Machinery Calculations (SB)'!Z37,'Machinery Calculations (SB)'!Z44),IF(B31=D50,IF(C16=B59,'Machinery Calculations (SB)'!Z36,'Machinery Calculations (SB)'!Z43))))</f>
        <v>0</v>
      </c>
      <c r="L31" s="188">
        <f>SUM(G31:K31)</f>
        <v>0</v>
      </c>
      <c r="M31" s="16"/>
      <c r="N31" s="86" t="s">
        <v>331</v>
      </c>
    </row>
    <row r="32" spans="2:14" ht="12.95" customHeight="1" thickBot="1" x14ac:dyDescent="0.25">
      <c r="B32" s="303" t="s">
        <v>369</v>
      </c>
      <c r="C32" s="158">
        <f>IF(B32=D52,IF(C16=B58,'Machinery Calculations (SB)'!C29,'Machinery Calculations (SB)'!B29),0)</f>
        <v>0</v>
      </c>
      <c r="D32" s="183">
        <v>0.5</v>
      </c>
      <c r="E32" s="306" t="s">
        <v>90</v>
      </c>
      <c r="F32" s="195"/>
      <c r="G32" s="159">
        <f>IF(B32=D52,'Machinery Calculations (SB)'!U29,0)</f>
        <v>0</v>
      </c>
      <c r="H32" s="159">
        <f>IF(B32=D52,'Machinery Calculations (SB)'!X29,0)</f>
        <v>0</v>
      </c>
      <c r="I32" s="159">
        <f>IF(B32=D52,'Machinery Calculations (SB)'!Y29,0)</f>
        <v>0</v>
      </c>
      <c r="J32" s="159">
        <f>IF(B32=D52,'Machinery Calculations (SB)'!V29+'Machinery Calculations (SB)'!W29,0)</f>
        <v>0</v>
      </c>
      <c r="K32" s="159">
        <f>IF(B32=D52,'Machinery Calculations (SB)'!Z29,0)</f>
        <v>0</v>
      </c>
      <c r="L32" s="188">
        <f>SUM(G32:K32)</f>
        <v>0</v>
      </c>
      <c r="M32" s="16"/>
      <c r="N32" s="86" t="s">
        <v>331</v>
      </c>
    </row>
    <row r="33" spans="1:14" ht="12.95" customHeight="1" thickBot="1" x14ac:dyDescent="0.25">
      <c r="B33" s="303" t="s">
        <v>363</v>
      </c>
      <c r="C33" s="158">
        <f>IF(B33=D54,'Machinery Calculations (SB)'!B21,IF(B33=D55,'Machinery Calculations (SB)'!B22,IF(B33=D56,'Machinery Calculations (SB)'!B27,0)))</f>
        <v>0</v>
      </c>
      <c r="D33" s="183">
        <v>0.5</v>
      </c>
      <c r="E33" s="306" t="s">
        <v>90</v>
      </c>
      <c r="F33" s="195"/>
      <c r="G33" s="159">
        <f>IF(B33=D54,'Machinery Calculations (SB)'!U21,IF(B33=D55,'Machinery Calculations (SB)'!U22,IF(B33=D56,'Machinery Calculations (SB)'!U27,0)))</f>
        <v>0</v>
      </c>
      <c r="H33" s="159">
        <f>IF(B33=D54,'Machinery Calculations (SB)'!X21,IF(B33=D55,'Machinery Calculations (SB)'!X22,IF(B33=D56,'Machinery Calculations (SB)'!X27,0)))</f>
        <v>0</v>
      </c>
      <c r="I33" s="159">
        <f>IF(B33=D54,'Machinery Calculations (SB)'!Y21,IF(B33=D55,'Machinery Calculations (SB)'!Y22,IF(B33=D56,'Machinery Calculations (SB)'!Y27,0)))</f>
        <v>0</v>
      </c>
      <c r="J33" s="159">
        <f>IF(B33=D54,'Machinery Calculations (SB)'!V21+'Machinery Calculations (SB)'!W21,IF(B33=D55,'Machinery Calculations (SB)'!V22+'Machinery Calculations (SB)'!W22,IF(B33=D56,'Machinery Calculations (SB)'!V27+'Machinery Calculations (SB)'!W27,0)))</f>
        <v>0</v>
      </c>
      <c r="K33" s="159">
        <f>IF(B33=D54,'Machinery Calculations (SB)'!Z21,IF(B33=D55,'Machinery Calculations (SB)'!Z22,IF(B33=D56,'Machinery Calculations (SB)'!Z27,0)))</f>
        <v>0</v>
      </c>
      <c r="L33" s="188">
        <f>SUM(G33:K33)</f>
        <v>0</v>
      </c>
      <c r="M33" s="16"/>
      <c r="N33" s="86" t="s">
        <v>331</v>
      </c>
    </row>
    <row r="34" spans="1:14" ht="12.95" customHeight="1" thickBot="1" x14ac:dyDescent="0.25">
      <c r="B34" s="303" t="s">
        <v>363</v>
      </c>
      <c r="C34" s="158">
        <f>IF(B34=D58,'Machinery Calculations (SB)'!B21,IF(B34=D59,'Machinery Calculations (SB)'!B22,IF(B34=D60,'Machinery Calculations (SB)'!B27,0)))</f>
        <v>0</v>
      </c>
      <c r="D34" s="184">
        <v>0.5</v>
      </c>
      <c r="E34" s="306" t="s">
        <v>90</v>
      </c>
      <c r="F34" s="195"/>
      <c r="G34" s="159">
        <f>IF(B34=D58,'Machinery Calculations (SB)'!U21,IF(B34=D59,'Machinery Calculations (SB)'!U22,IF(B34=D60,'Machinery Calculations (SB)'!U27,0)))</f>
        <v>0</v>
      </c>
      <c r="H34" s="159">
        <f>IF(B34=D58,'Machinery Calculations (SB)'!X21,IF(B34=D59,'Machinery Calculations (SB)'!X22,IF(B34=D60,'Machinery Calculations (SB)'!X27,0)))</f>
        <v>0</v>
      </c>
      <c r="I34" s="159">
        <f>IF(B34=D58,'Machinery Calculations (SB)'!Y21,IF(B34=D59,'Machinery Calculations (SB)'!Y22,IF(B34=D60,'Machinery Calculations (SB)'!Y27,0)))</f>
        <v>0</v>
      </c>
      <c r="J34" s="159">
        <f>IF(B34=D58,'Machinery Calculations (SB)'!V21+'Machinery Calculations (SB)'!W21,IF(B34=D59,'Machinery Calculations (SB)'!V22+'Machinery Calculations (SB)'!W22,IF(B34=D60,'Machinery Calculations (SB)'!V27+'Machinery Calculations (SB)'!W27,0)))</f>
        <v>0</v>
      </c>
      <c r="K34" s="159">
        <f>IF(B34=D58,'Machinery Calculations (SB)'!Z21,IF(B34=D59,'Machinery Calculations (SB)'!Z22,IF(B34=D60,'Machinery Calculations (SB)'!Z27,0)))</f>
        <v>0</v>
      </c>
      <c r="L34" s="188">
        <f>SUM(G34:K34)</f>
        <v>0</v>
      </c>
      <c r="M34" s="16"/>
      <c r="N34" s="86" t="s">
        <v>331</v>
      </c>
    </row>
    <row r="35" spans="1:14" ht="12.95" customHeight="1" x14ac:dyDescent="0.2">
      <c r="A35" s="311"/>
      <c r="B35" s="312"/>
      <c r="C35" s="871" t="s">
        <v>292</v>
      </c>
      <c r="D35" s="871"/>
      <c r="E35" s="857"/>
      <c r="F35" s="858"/>
      <c r="G35" s="858"/>
      <c r="H35" s="858"/>
      <c r="I35" s="858"/>
      <c r="J35" s="858"/>
      <c r="K35" s="858"/>
      <c r="L35" s="859"/>
      <c r="N35" s="39"/>
    </row>
    <row r="36" spans="1:14" ht="12.95" customHeight="1" x14ac:dyDescent="0.2">
      <c r="B36" s="65" t="s">
        <v>330</v>
      </c>
      <c r="C36" s="872">
        <f>IF(C10=B64,C11,D11)</f>
        <v>0.75</v>
      </c>
      <c r="D36" s="873"/>
      <c r="E36" s="162"/>
      <c r="F36" s="4"/>
      <c r="G36" s="152" t="s">
        <v>288</v>
      </c>
      <c r="H36" s="152" t="s">
        <v>288</v>
      </c>
      <c r="I36" s="171" t="s">
        <v>288</v>
      </c>
      <c r="J36" s="153">
        <f>'Machinery Calculations (SB)'!V71+'Machinery Calculations (SB)'!W71</f>
        <v>11.25</v>
      </c>
      <c r="K36" s="171" t="s">
        <v>288</v>
      </c>
      <c r="L36" s="187">
        <f>SUM(G36:K36)</f>
        <v>11.25</v>
      </c>
    </row>
    <row r="37" spans="1:14" ht="12.95" customHeight="1" x14ac:dyDescent="0.2">
      <c r="B37" s="65" t="s">
        <v>404</v>
      </c>
      <c r="C37" s="856">
        <f>IF(C10=B64,C12,D12)</f>
        <v>0.35</v>
      </c>
      <c r="D37" s="856"/>
      <c r="E37" s="121"/>
      <c r="F37" s="4"/>
      <c r="G37" s="151">
        <f>'Machinery Calculations (SB)'!U72</f>
        <v>0.61249999999999993</v>
      </c>
      <c r="H37" s="152" t="s">
        <v>288</v>
      </c>
      <c r="I37" s="171" t="s">
        <v>288</v>
      </c>
      <c r="J37" s="171" t="s">
        <v>288</v>
      </c>
      <c r="K37" s="171" t="s">
        <v>288</v>
      </c>
      <c r="L37" s="187">
        <f>SUM(G37:K37)</f>
        <v>0.61249999999999993</v>
      </c>
    </row>
    <row r="38" spans="1:14" ht="12.95" customHeight="1" x14ac:dyDescent="0.2">
      <c r="B38" s="850"/>
      <c r="C38" s="851"/>
      <c r="D38" s="851"/>
      <c r="E38" s="851"/>
      <c r="F38" s="851"/>
      <c r="G38" s="851"/>
      <c r="H38" s="851"/>
      <c r="I38" s="851"/>
      <c r="J38" s="851"/>
      <c r="K38" s="851"/>
      <c r="L38" s="852"/>
    </row>
    <row r="39" spans="1:14" ht="12.95" customHeight="1" x14ac:dyDescent="0.2">
      <c r="B39" s="862" t="s">
        <v>322</v>
      </c>
      <c r="C39" s="863"/>
      <c r="D39" s="863"/>
      <c r="E39" s="863"/>
      <c r="F39" s="864"/>
      <c r="G39" s="150">
        <f t="shared" ref="G39:L39" si="2">SUM(G22:G37)</f>
        <v>8.4206350427654133</v>
      </c>
      <c r="H39" s="150">
        <f t="shared" si="2"/>
        <v>22.918683245129827</v>
      </c>
      <c r="I39" s="150">
        <f t="shared" si="2"/>
        <v>46.531872043142371</v>
      </c>
      <c r="J39" s="150">
        <f t="shared" si="2"/>
        <v>20.320231016728787</v>
      </c>
      <c r="K39" s="150">
        <f t="shared" si="2"/>
        <v>0</v>
      </c>
      <c r="L39" s="187">
        <f t="shared" si="2"/>
        <v>98.191421347766408</v>
      </c>
    </row>
    <row r="45" spans="1:14" x14ac:dyDescent="0.2">
      <c r="G45" s="85"/>
      <c r="H45" s="85"/>
      <c r="I45" s="85"/>
      <c r="J45" s="79"/>
      <c r="K45" s="79"/>
      <c r="L45" s="79"/>
      <c r="M45" s="85"/>
      <c r="N45" s="85"/>
    </row>
    <row r="46" spans="1:14" x14ac:dyDescent="0.2">
      <c r="B46" s="16"/>
      <c r="G46" s="167"/>
      <c r="H46" s="82"/>
      <c r="I46" s="85"/>
      <c r="J46" s="157"/>
      <c r="K46" s="157"/>
      <c r="L46" s="157"/>
      <c r="M46" s="85"/>
      <c r="N46" s="85"/>
    </row>
    <row r="47" spans="1:14" ht="12" customHeight="1" x14ac:dyDescent="0.2">
      <c r="B47" s="16"/>
      <c r="D47" s="16"/>
      <c r="E47" s="16"/>
      <c r="G47" s="82"/>
      <c r="H47" s="82"/>
      <c r="I47" s="85"/>
      <c r="J47" s="168"/>
      <c r="K47" s="168"/>
      <c r="L47" s="168"/>
      <c r="M47" s="82"/>
      <c r="N47" s="85"/>
    </row>
    <row r="48" spans="1:14" ht="12.75" hidden="1" customHeight="1" x14ac:dyDescent="0.2">
      <c r="B48" s="16" t="s">
        <v>51</v>
      </c>
      <c r="C48" s="154" t="s">
        <v>346</v>
      </c>
      <c r="D48" s="81" t="s">
        <v>367</v>
      </c>
      <c r="E48" s="81"/>
      <c r="G48" s="85"/>
      <c r="H48" s="82"/>
      <c r="I48" s="85"/>
      <c r="J48" s="168"/>
      <c r="K48" s="168"/>
      <c r="L48" s="168"/>
      <c r="M48" s="82"/>
      <c r="N48" s="85"/>
    </row>
    <row r="49" spans="2:14" ht="12.75" hidden="1" customHeight="1" x14ac:dyDescent="0.2">
      <c r="B49" s="16" t="s">
        <v>90</v>
      </c>
      <c r="D49" s="81" t="s">
        <v>358</v>
      </c>
      <c r="E49" s="81"/>
      <c r="G49" s="167">
        <f>IF(C16=B59,'Machinery Calculations (SB)'!B37,'Machinery Calculations (SB)'!C44)</f>
        <v>0.5</v>
      </c>
      <c r="H49" s="85"/>
      <c r="I49" s="85"/>
      <c r="J49" s="168"/>
      <c r="K49" s="168"/>
      <c r="L49" s="168"/>
      <c r="M49" s="85"/>
      <c r="N49" s="85"/>
    </row>
    <row r="50" spans="2:14" ht="12.75" hidden="1" customHeight="1" x14ac:dyDescent="0.2">
      <c r="B50" s="16"/>
      <c r="D50" s="39" t="s">
        <v>359</v>
      </c>
      <c r="E50" s="39"/>
      <c r="G50" s="85">
        <f>IF(C16=B59,'Machinery Calculations (SB)'!B36,'Machinery Calculations (SB)'!C43)</f>
        <v>0.5</v>
      </c>
      <c r="H50" s="82"/>
      <c r="I50" s="85"/>
      <c r="J50" s="168"/>
      <c r="K50" s="168"/>
      <c r="L50" s="168"/>
      <c r="M50" s="85"/>
      <c r="N50" s="85"/>
    </row>
    <row r="51" spans="2:14" ht="12.75" hidden="1" customHeight="1" x14ac:dyDescent="0.2">
      <c r="B51" s="16" t="s">
        <v>79</v>
      </c>
      <c r="C51" s="154" t="s">
        <v>347</v>
      </c>
      <c r="D51" s="16" t="s">
        <v>369</v>
      </c>
      <c r="E51" s="16"/>
      <c r="G51" s="85"/>
      <c r="H51" s="82"/>
      <c r="I51" s="85"/>
      <c r="J51" s="168"/>
      <c r="K51" s="168"/>
      <c r="L51" s="168"/>
      <c r="M51" s="85"/>
      <c r="N51" s="85"/>
    </row>
    <row r="52" spans="2:14" ht="12.75" hidden="1" customHeight="1" x14ac:dyDescent="0.2">
      <c r="B52" s="16" t="s">
        <v>80</v>
      </c>
      <c r="D52" s="16" t="s">
        <v>368</v>
      </c>
      <c r="E52" s="16"/>
      <c r="G52" s="85"/>
      <c r="H52" s="82"/>
      <c r="I52" s="85"/>
      <c r="J52" s="168"/>
      <c r="K52" s="168"/>
      <c r="L52" s="168"/>
      <c r="M52" s="85"/>
      <c r="N52" s="85"/>
    </row>
    <row r="53" spans="2:14" ht="12.75" hidden="1" customHeight="1" x14ac:dyDescent="0.2">
      <c r="B53" s="16" t="s">
        <v>255</v>
      </c>
      <c r="C53" s="156" t="s">
        <v>351</v>
      </c>
      <c r="D53" s="82" t="s">
        <v>363</v>
      </c>
      <c r="E53" s="82"/>
      <c r="G53" s="85"/>
      <c r="H53" s="82"/>
      <c r="I53" s="85"/>
      <c r="J53" s="168"/>
      <c r="K53" s="168"/>
      <c r="L53" s="168"/>
      <c r="M53" s="85"/>
      <c r="N53" s="85"/>
    </row>
    <row r="54" spans="2:14" ht="12.75" hidden="1" customHeight="1" x14ac:dyDescent="0.2">
      <c r="B54" s="16"/>
      <c r="C54" s="156"/>
      <c r="D54" s="39" t="s">
        <v>360</v>
      </c>
      <c r="E54" s="39"/>
      <c r="G54" s="85"/>
      <c r="H54" s="82"/>
      <c r="I54" s="85"/>
      <c r="J54" s="168"/>
      <c r="K54" s="168"/>
      <c r="L54" s="168"/>
      <c r="M54" s="85"/>
      <c r="N54" s="85"/>
    </row>
    <row r="55" spans="2:14" ht="12.75" hidden="1" customHeight="1" x14ac:dyDescent="0.2">
      <c r="B55" s="16" t="s">
        <v>222</v>
      </c>
      <c r="C55" s="39"/>
      <c r="D55" s="82" t="s">
        <v>361</v>
      </c>
      <c r="E55" s="82"/>
      <c r="G55" s="167"/>
      <c r="H55" s="82"/>
      <c r="I55" s="85"/>
      <c r="J55" s="168"/>
      <c r="K55" s="168"/>
      <c r="L55" s="168"/>
      <c r="M55" s="85"/>
      <c r="N55" s="85"/>
    </row>
    <row r="56" spans="2:14" ht="12.75" hidden="1" customHeight="1" x14ac:dyDescent="0.2">
      <c r="B56" s="16" t="s">
        <v>223</v>
      </c>
      <c r="C56" s="16"/>
      <c r="D56" s="82" t="s">
        <v>362</v>
      </c>
      <c r="E56" s="82"/>
      <c r="G56" s="82"/>
      <c r="H56" s="82"/>
      <c r="I56" s="85"/>
      <c r="J56" s="168"/>
      <c r="K56" s="168"/>
      <c r="L56" s="168"/>
      <c r="M56" s="82"/>
      <c r="N56" s="85"/>
    </row>
    <row r="57" spans="2:14" ht="12.75" hidden="1" customHeight="1" x14ac:dyDescent="0.2">
      <c r="C57" s="156" t="s">
        <v>352</v>
      </c>
      <c r="D57" s="82" t="s">
        <v>363</v>
      </c>
      <c r="E57" s="82"/>
      <c r="G57" s="82"/>
      <c r="H57" s="82"/>
      <c r="I57" s="85"/>
      <c r="J57" s="168"/>
      <c r="K57" s="168"/>
      <c r="L57" s="168"/>
      <c r="M57" s="82"/>
      <c r="N57" s="85"/>
    </row>
    <row r="58" spans="2:14" ht="12.75" hidden="1" customHeight="1" x14ac:dyDescent="0.2">
      <c r="B58" s="16" t="s">
        <v>226</v>
      </c>
      <c r="C58" s="39"/>
      <c r="D58" s="39" t="s">
        <v>360</v>
      </c>
      <c r="E58" s="39"/>
      <c r="G58" s="82"/>
      <c r="H58" s="82"/>
      <c r="I58" s="85"/>
      <c r="J58" s="168"/>
      <c r="K58" s="168"/>
      <c r="L58" s="168"/>
      <c r="M58" s="85"/>
      <c r="N58" s="85"/>
    </row>
    <row r="59" spans="2:14" ht="12.75" hidden="1" customHeight="1" x14ac:dyDescent="0.2">
      <c r="B59" s="16" t="s">
        <v>236</v>
      </c>
      <c r="C59" s="23"/>
      <c r="D59" s="82" t="s">
        <v>361</v>
      </c>
      <c r="E59" s="82"/>
      <c r="G59" s="82"/>
      <c r="H59" s="82"/>
      <c r="I59" s="85"/>
      <c r="J59" s="168"/>
      <c r="K59" s="168"/>
      <c r="L59" s="168"/>
      <c r="M59" s="85"/>
      <c r="N59" s="85"/>
    </row>
    <row r="60" spans="2:14" ht="12.75" hidden="1" customHeight="1" x14ac:dyDescent="0.2">
      <c r="C60" s="79"/>
      <c r="D60" s="82" t="s">
        <v>362</v>
      </c>
      <c r="E60" s="82"/>
      <c r="G60" s="85"/>
      <c r="H60" s="82"/>
      <c r="I60" s="85"/>
      <c r="J60" s="168"/>
      <c r="K60" s="168"/>
      <c r="L60" s="168"/>
      <c r="M60" s="82"/>
      <c r="N60" s="85"/>
    </row>
    <row r="61" spans="2:14" ht="12.75" hidden="1" customHeight="1" x14ac:dyDescent="0.2">
      <c r="B61" s="16"/>
      <c r="G61" s="82"/>
      <c r="H61" s="85"/>
      <c r="I61" s="85"/>
      <c r="J61" s="168"/>
      <c r="K61" s="168"/>
      <c r="L61" s="168"/>
      <c r="M61" s="85"/>
      <c r="N61" s="85"/>
    </row>
    <row r="62" spans="2:14" ht="12.75" hidden="1" customHeight="1" x14ac:dyDescent="0.2">
      <c r="B62" s="16"/>
      <c r="G62" s="85"/>
      <c r="H62" s="82"/>
      <c r="I62" s="85"/>
      <c r="J62" s="168"/>
      <c r="K62" s="168"/>
      <c r="L62" s="168"/>
      <c r="M62" s="85"/>
      <c r="N62" s="82"/>
    </row>
    <row r="63" spans="2:14" ht="12.75" hidden="1" customHeight="1" x14ac:dyDescent="0.2">
      <c r="B63" s="16" t="s">
        <v>391</v>
      </c>
      <c r="G63" s="85"/>
      <c r="H63" s="82"/>
      <c r="I63" s="85"/>
      <c r="J63" s="168"/>
      <c r="K63" s="168"/>
      <c r="L63" s="168"/>
      <c r="M63" s="85"/>
      <c r="N63" s="82"/>
    </row>
    <row r="64" spans="2:14" ht="13.5" hidden="1" customHeight="1" x14ac:dyDescent="0.2">
      <c r="B64" s="16" t="s">
        <v>366</v>
      </c>
      <c r="G64" s="85"/>
      <c r="H64" s="82"/>
      <c r="I64" s="85"/>
      <c r="J64" s="168"/>
      <c r="K64" s="168"/>
      <c r="L64" s="168"/>
      <c r="M64" s="85"/>
      <c r="N64" s="82"/>
    </row>
    <row r="65" spans="7:14" x14ac:dyDescent="0.2">
      <c r="G65" s="85"/>
      <c r="H65" s="82"/>
      <c r="I65" s="85"/>
      <c r="J65" s="168"/>
      <c r="K65" s="168"/>
      <c r="L65" s="168"/>
      <c r="M65" s="85"/>
      <c r="N65" s="85"/>
    </row>
    <row r="66" spans="7:14" x14ac:dyDescent="0.2">
      <c r="G66" s="85"/>
      <c r="H66" s="82"/>
      <c r="I66" s="85"/>
      <c r="J66" s="168"/>
      <c r="K66" s="168"/>
      <c r="L66" s="168"/>
      <c r="M66" s="85"/>
      <c r="N66" s="85"/>
    </row>
    <row r="67" spans="7:14" x14ac:dyDescent="0.2">
      <c r="G67" s="85"/>
      <c r="H67" s="85"/>
      <c r="I67" s="85"/>
      <c r="J67" s="85"/>
      <c r="K67" s="85"/>
      <c r="L67" s="85"/>
      <c r="M67" s="85"/>
      <c r="N67" s="85"/>
    </row>
    <row r="68" spans="7:14" x14ac:dyDescent="0.2">
      <c r="G68" s="85"/>
      <c r="H68" s="85"/>
      <c r="I68" s="85"/>
      <c r="J68" s="85"/>
      <c r="K68" s="85"/>
      <c r="L68" s="85"/>
      <c r="M68" s="85"/>
      <c r="N68" s="85"/>
    </row>
  </sheetData>
  <mergeCells count="37">
    <mergeCell ref="B2:L2"/>
    <mergeCell ref="B39:F39"/>
    <mergeCell ref="B18:L18"/>
    <mergeCell ref="C9:D9"/>
    <mergeCell ref="C35:D35"/>
    <mergeCell ref="C36:D36"/>
    <mergeCell ref="G16:L16"/>
    <mergeCell ref="B14:L14"/>
    <mergeCell ref="B15:L15"/>
    <mergeCell ref="G17:L17"/>
    <mergeCell ref="C21:D21"/>
    <mergeCell ref="C10:D10"/>
    <mergeCell ref="E20:E21"/>
    <mergeCell ref="C17:E17"/>
    <mergeCell ref="C16:E16"/>
    <mergeCell ref="C5:D5"/>
    <mergeCell ref="C6:D6"/>
    <mergeCell ref="E4:L4"/>
    <mergeCell ref="C4:D4"/>
    <mergeCell ref="B3:L3"/>
    <mergeCell ref="E5:L5"/>
    <mergeCell ref="E6:L6"/>
    <mergeCell ref="E7:L7"/>
    <mergeCell ref="E8:L8"/>
    <mergeCell ref="E9:L9"/>
    <mergeCell ref="E35:L35"/>
    <mergeCell ref="C7:D7"/>
    <mergeCell ref="C8:D8"/>
    <mergeCell ref="B38:L38"/>
    <mergeCell ref="E11:L11"/>
    <mergeCell ref="C20:D20"/>
    <mergeCell ref="C19:D19"/>
    <mergeCell ref="E10:L10"/>
    <mergeCell ref="B30:L30"/>
    <mergeCell ref="B29:L29"/>
    <mergeCell ref="E12:L12"/>
    <mergeCell ref="C37:D37"/>
  </mergeCells>
  <conditionalFormatting sqref="D22:E28 K19:K20 K22:K28 D31:E34 K31:K34 K36:K37 K39">
    <cfRule type="expression" dxfId="16" priority="256">
      <formula>$C$17=$B$64</formula>
    </cfRule>
  </conditionalFormatting>
  <conditionalFormatting sqref="G20">
    <cfRule type="expression" dxfId="15" priority="258">
      <formula>$G$19=$B$53</formula>
    </cfRule>
  </conditionalFormatting>
  <conditionalFormatting sqref="H20">
    <cfRule type="expression" dxfId="14" priority="259">
      <formula>$H$19=$B$53</formula>
    </cfRule>
  </conditionalFormatting>
  <conditionalFormatting sqref="I20">
    <cfRule type="expression" dxfId="13" priority="260">
      <formula>$I$19=$B$53</formula>
    </cfRule>
  </conditionalFormatting>
  <conditionalFormatting sqref="J20:K20">
    <cfRule type="expression" dxfId="12" priority="261">
      <formula>$J$19=$B$53</formula>
    </cfRule>
  </conditionalFormatting>
  <conditionalFormatting sqref="D11:D12">
    <cfRule type="expression" dxfId="11" priority="262">
      <formula>$C$10=$B$64</formula>
    </cfRule>
  </conditionalFormatting>
  <conditionalFormatting sqref="B27:L27 B33:L34 N33:N34">
    <cfRule type="expression" dxfId="10" priority="265">
      <formula>$C$16=$B$58</formula>
    </cfRule>
  </conditionalFormatting>
  <conditionalFormatting sqref="D31:E31">
    <cfRule type="expression" dxfId="9" priority="9">
      <formula>$B$31=$D$48</formula>
    </cfRule>
  </conditionalFormatting>
  <conditionalFormatting sqref="D32:E32">
    <cfRule type="expression" dxfId="8" priority="8">
      <formula>$B$32=$D$51</formula>
    </cfRule>
  </conditionalFormatting>
  <conditionalFormatting sqref="D33:E33">
    <cfRule type="expression" dxfId="7" priority="7">
      <formula>$B$33=$D$53</formula>
    </cfRule>
  </conditionalFormatting>
  <conditionalFormatting sqref="D34:E34">
    <cfRule type="expression" dxfId="6" priority="6">
      <formula>$B$34=$D$57</formula>
    </cfRule>
  </conditionalFormatting>
  <conditionalFormatting sqref="E22:E28 E31:E34">
    <cfRule type="expression" dxfId="5" priority="2">
      <formula>$C$17=$B$64</formula>
    </cfRule>
  </conditionalFormatting>
  <dataValidations xWindow="311" yWindow="592" count="9">
    <dataValidation type="list" allowBlank="1" showInputMessage="1" showErrorMessage="1" sqref="B31">
      <formula1>$D$48:$D$50</formula1>
    </dataValidation>
    <dataValidation type="list" allowBlank="1" showInputMessage="1" showErrorMessage="1" sqref="B33">
      <formula1>$D$53:$D$56</formula1>
    </dataValidation>
    <dataValidation type="list" allowBlank="1" showInputMessage="1" showErrorMessage="1" prompt="Make sure that the additional tillage option selected here is not the same as above or costs will be included twice on the Machinery Operations chart. " sqref="B34">
      <formula1>$D$57:$D$60</formula1>
    </dataValidation>
    <dataValidation type="list" allowBlank="1" showInputMessage="1" showErrorMessage="1" sqref="B32">
      <formula1>$D$51:$D$52</formula1>
    </dataValidation>
    <dataValidation type="list" allowBlank="1" showInputMessage="1" showErrorMessage="1" sqref="G19:K19">
      <formula1>$B$51:$B$53</formula1>
    </dataValidation>
    <dataValidation type="list" allowBlank="1" showInputMessage="1" showErrorMessage="1" sqref="C10:D10">
      <formula1>$B$63:$B$64</formula1>
    </dataValidation>
    <dataValidation type="list" allowBlank="1" showInputMessage="1" showErrorMessage="1" sqref="C16:E16">
      <formula1>$B$58:$B$59</formula1>
    </dataValidation>
    <dataValidation type="list" allowBlank="1" showInputMessage="1" showErrorMessage="1" sqref="E22:E28 E31:E34">
      <formula1>$B$48:$B$49</formula1>
    </dataValidation>
    <dataValidation type="list" allowBlank="1" showInputMessage="1" showErrorMessage="1" prompt="If you select &quot;Enter&quot; the default number of trips will be visible, but calculations will be based off of the number of trips entered. _x000a__x000a_If &quot;Custom Work&quot; applies to any machinery operations, select &quot;Y&quot; in the Custom Work column. " sqref="C17:E17">
      <formula1>$B$63:$B$64</formula1>
    </dataValidation>
  </dataValidations>
  <pageMargins left="0.7" right="0.7" top="0.75" bottom="0.75" header="0.3" footer="0.3"/>
  <pageSetup orientation="portrait" horizontalDpi="1200" verticalDpi="1200" r:id="rId1"/>
  <ignoredErrors>
    <ignoredError sqref="C5:C9" unlockedFormula="1"/>
  </ignoredErrors>
  <extLst>
    <ext xmlns:x14="http://schemas.microsoft.com/office/spreadsheetml/2009/9/main" uri="{78C0D931-6437-407d-A8EE-F0AAD7539E65}">
      <x14:conditionalFormattings>
        <x14:conditionalFormatting xmlns:xm="http://schemas.microsoft.com/office/excel/2006/main">
          <x14:cfRule type="expression" priority="391" id="{11E76BD4-743F-42F6-A870-7E7EC8DF213C}">
            <xm:f>Soybeans!$C$27=Soybeans!$C$74</xm:f>
            <x14:dxf>
              <font>
                <color theme="0"/>
              </font>
            </x14:dxf>
          </x14:cfRule>
          <x14:cfRule type="expression" priority="392" id="{BE22AD7E-95EE-49F2-A022-DD3AEEFA5088}">
            <xm:f>Soybeans!$D$26=Soybeans!$C$83</xm:f>
            <x14:dxf>
              <font>
                <color theme="0"/>
              </font>
            </x14:dxf>
          </x14:cfRule>
          <xm:sqref>B28:L28</xm:sqref>
        </x14:conditionalFormatting>
        <x14:conditionalFormatting xmlns:xm="http://schemas.microsoft.com/office/excel/2006/main">
          <x14:cfRule type="expression" priority="5" id="{0F17AFD0-87DE-4D35-BB31-BB9EB5BE4E68}">
            <xm:f>Soybeans!$I$21=Soybeans!$D$61</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1" id="{CF6C1210-B2FE-4B74-8821-994254A0F0F2}">
            <xm:f>Soybeans!$I$21=Soybeans!$D$61</xm:f>
            <x14:dxf>
              <font>
                <color theme="0"/>
              </font>
              <fill>
                <patternFill patternType="none">
                  <bgColor auto="1"/>
                </patternFill>
              </fill>
              <border>
                <left/>
                <right/>
                <top/>
                <bottom/>
                <vertical/>
                <horizontal/>
              </border>
            </x14:dxf>
          </x14:cfRule>
          <xm:sqref>B2:L12 B15:N39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9"/>
  <sheetViews>
    <sheetView zoomScaleNormal="100" workbookViewId="0">
      <pane ySplit="17" topLeftCell="A18" activePane="bottomLeft" state="frozen"/>
      <selection activeCell="H25" sqref="H25"/>
      <selection pane="bottomLeft" activeCell="U69" sqref="U69"/>
    </sheetView>
  </sheetViews>
  <sheetFormatPr defaultRowHeight="12.75" x14ac:dyDescent="0.2"/>
  <cols>
    <col min="1" max="1" width="33.42578125" customWidth="1"/>
    <col min="2" max="6" width="9.28515625" customWidth="1"/>
    <col min="7" max="7" width="10.42578125" customWidth="1"/>
    <col min="8" max="8" width="8.5703125" style="23" customWidth="1"/>
    <col min="9" max="11" width="7.85546875" customWidth="1"/>
    <col min="12" max="12" width="9" customWidth="1"/>
    <col min="13" max="13" width="7.5703125" customWidth="1"/>
    <col min="14" max="16" width="7.140625" customWidth="1"/>
    <col min="17" max="17" width="9.140625" customWidth="1"/>
    <col min="18" max="18" width="8.42578125" customWidth="1"/>
    <col min="19" max="19" width="8.7109375" customWidth="1"/>
    <col min="20" max="20" width="4.7109375" customWidth="1"/>
    <col min="21" max="21" width="8.5703125" customWidth="1"/>
    <col min="22" max="22" width="8.140625" customWidth="1"/>
    <col min="23" max="23" width="8.7109375" customWidth="1"/>
    <col min="24" max="24" width="8.42578125" customWidth="1"/>
    <col min="25" max="25" width="8.5703125" customWidth="1"/>
    <col min="26" max="26" width="8.42578125" customWidth="1"/>
  </cols>
  <sheetData>
    <row r="1" spans="1:27" ht="18" x14ac:dyDescent="0.25">
      <c r="A1" s="888" t="s">
        <v>120</v>
      </c>
      <c r="B1" s="888"/>
      <c r="C1" s="888"/>
      <c r="D1" s="888"/>
      <c r="E1" s="888"/>
      <c r="F1" s="888"/>
      <c r="G1" s="888"/>
      <c r="H1" s="888"/>
      <c r="I1" s="888"/>
      <c r="J1" s="888"/>
      <c r="K1" s="888"/>
      <c r="L1" s="888"/>
      <c r="M1" s="888"/>
      <c r="N1" s="888"/>
      <c r="O1" s="888"/>
      <c r="P1" s="888"/>
      <c r="Q1" s="888"/>
      <c r="R1" s="888"/>
      <c r="S1" s="888"/>
      <c r="T1" s="888"/>
      <c r="U1" s="888"/>
      <c r="V1" s="888"/>
      <c r="W1" s="888"/>
      <c r="X1" s="888"/>
      <c r="Y1" s="888"/>
      <c r="Z1" s="888"/>
    </row>
    <row r="2" spans="1:27" x14ac:dyDescent="0.2">
      <c r="A2" s="93" t="s">
        <v>164</v>
      </c>
      <c r="B2" s="124">
        <f>'Machinery Calc (GMO)'!B2</f>
        <v>2</v>
      </c>
      <c r="C2" s="93"/>
      <c r="D2" s="669" t="s">
        <v>110</v>
      </c>
      <c r="E2" s="669"/>
      <c r="F2" s="669"/>
      <c r="G2" s="669"/>
      <c r="H2" s="669"/>
      <c r="I2" s="669"/>
      <c r="J2" s="669"/>
      <c r="K2" s="669"/>
      <c r="L2" s="669"/>
      <c r="M2" s="669"/>
      <c r="N2" s="669"/>
      <c r="O2" s="669"/>
      <c r="P2" s="669"/>
      <c r="Q2" s="669"/>
      <c r="R2" s="669"/>
      <c r="S2" s="669"/>
      <c r="T2" s="669"/>
      <c r="U2" s="669"/>
      <c r="V2" s="669"/>
      <c r="W2" s="669"/>
      <c r="X2" s="669"/>
      <c r="Y2" s="669"/>
      <c r="Z2" s="669"/>
    </row>
    <row r="3" spans="1:27" hidden="1" x14ac:dyDescent="0.2">
      <c r="A3" s="93" t="s">
        <v>49</v>
      </c>
      <c r="B3" s="124">
        <f>'Machinery(Soybeans)'!C5</f>
        <v>1.75</v>
      </c>
      <c r="C3" s="93"/>
      <c r="D3" s="670" t="s">
        <v>98</v>
      </c>
      <c r="E3" s="670"/>
      <c r="F3" s="670"/>
      <c r="G3" s="670"/>
      <c r="H3" s="670"/>
      <c r="I3" s="670"/>
      <c r="J3" s="670"/>
      <c r="K3" s="670"/>
      <c r="L3" s="670"/>
      <c r="M3" s="670"/>
      <c r="N3" s="670"/>
      <c r="O3" s="670"/>
      <c r="P3" s="670"/>
      <c r="Q3" s="670"/>
      <c r="R3" s="670"/>
      <c r="S3" s="670"/>
      <c r="T3" s="670"/>
      <c r="U3" s="670"/>
      <c r="V3" s="670"/>
      <c r="W3" s="670"/>
      <c r="X3" s="670"/>
      <c r="Y3" s="670"/>
      <c r="Z3" s="670"/>
    </row>
    <row r="4" spans="1:27" hidden="1" x14ac:dyDescent="0.2">
      <c r="A4" s="93" t="s">
        <v>68</v>
      </c>
      <c r="B4" s="124">
        <f>'Machinery(Soybeans)'!C6</f>
        <v>15</v>
      </c>
      <c r="C4" s="93"/>
      <c r="D4" s="670" t="s">
        <v>100</v>
      </c>
      <c r="E4" s="670"/>
      <c r="F4" s="670"/>
      <c r="G4" s="670"/>
      <c r="H4" s="670"/>
      <c r="I4" s="670"/>
      <c r="J4" s="670"/>
      <c r="K4" s="670"/>
      <c r="L4" s="670"/>
      <c r="M4" s="670"/>
      <c r="N4" s="670"/>
      <c r="O4" s="670"/>
      <c r="P4" s="670"/>
      <c r="Q4" s="670"/>
      <c r="R4" s="670"/>
      <c r="S4" s="670"/>
      <c r="T4" s="670"/>
      <c r="U4" s="670"/>
      <c r="V4" s="670"/>
      <c r="W4" s="670"/>
      <c r="X4" s="670"/>
      <c r="Y4" s="670"/>
      <c r="Z4" s="670"/>
    </row>
    <row r="5" spans="1:27" hidden="1" x14ac:dyDescent="0.2">
      <c r="A5" s="93" t="s">
        <v>115</v>
      </c>
      <c r="B5" s="124" t="str">
        <f>'Machinery(Soybeans)'!C7</f>
        <v>Y</v>
      </c>
      <c r="C5" s="93"/>
      <c r="D5" s="670" t="s">
        <v>106</v>
      </c>
      <c r="E5" s="670"/>
      <c r="F5" s="670"/>
      <c r="G5" s="670"/>
      <c r="H5" s="670"/>
      <c r="I5" s="670"/>
      <c r="J5" s="670"/>
      <c r="K5" s="670"/>
      <c r="L5" s="670"/>
      <c r="M5" s="670"/>
      <c r="N5" s="670"/>
      <c r="O5" s="670"/>
      <c r="P5" s="670"/>
      <c r="Q5" s="670"/>
      <c r="R5" s="670"/>
      <c r="S5" s="670"/>
      <c r="T5" s="670"/>
      <c r="U5" s="670"/>
      <c r="V5" s="670"/>
      <c r="W5" s="670"/>
      <c r="X5" s="670"/>
      <c r="Y5" s="670"/>
      <c r="Z5" s="670"/>
    </row>
    <row r="6" spans="1:27" hidden="1" x14ac:dyDescent="0.2">
      <c r="A6" s="93" t="s">
        <v>69</v>
      </c>
      <c r="B6" s="124">
        <f>'Machinery(Soybeans)'!C8</f>
        <v>12.5</v>
      </c>
      <c r="C6" s="93"/>
      <c r="D6" s="670" t="s">
        <v>99</v>
      </c>
      <c r="E6" s="670"/>
      <c r="F6" s="670"/>
      <c r="G6" s="670"/>
      <c r="H6" s="670"/>
      <c r="I6" s="670"/>
      <c r="J6" s="670"/>
      <c r="K6" s="670"/>
      <c r="L6" s="670"/>
      <c r="M6" s="670"/>
      <c r="N6" s="670"/>
      <c r="O6" s="670"/>
      <c r="P6" s="670"/>
      <c r="Q6" s="670"/>
      <c r="R6" s="670"/>
      <c r="S6" s="670"/>
      <c r="T6" s="670"/>
      <c r="U6" s="670"/>
      <c r="V6" s="670"/>
      <c r="W6" s="670"/>
      <c r="X6" s="670"/>
      <c r="Y6" s="670"/>
      <c r="Z6" s="670"/>
    </row>
    <row r="7" spans="1:27" hidden="1" x14ac:dyDescent="0.2">
      <c r="A7" s="93" t="s">
        <v>70</v>
      </c>
      <c r="B7" s="126">
        <f>'Machinery(Soybeans)'!C9</f>
        <v>0</v>
      </c>
      <c r="C7" s="93"/>
      <c r="D7" s="670" t="s">
        <v>107</v>
      </c>
      <c r="E7" s="670"/>
      <c r="F7" s="670"/>
      <c r="G7" s="670"/>
      <c r="H7" s="670"/>
      <c r="I7" s="670"/>
      <c r="J7" s="670"/>
      <c r="K7" s="670"/>
      <c r="L7" s="670"/>
      <c r="M7" s="670"/>
      <c r="N7" s="670"/>
      <c r="O7" s="670"/>
      <c r="P7" s="670"/>
      <c r="Q7" s="670"/>
      <c r="R7" s="670"/>
      <c r="S7" s="670"/>
      <c r="T7" s="670"/>
      <c r="U7" s="670"/>
      <c r="V7" s="670"/>
      <c r="W7" s="670"/>
      <c r="X7" s="670"/>
      <c r="Y7" s="670"/>
      <c r="Z7" s="670"/>
    </row>
    <row r="8" spans="1:27" hidden="1" x14ac:dyDescent="0.2">
      <c r="A8" s="93" t="s">
        <v>103</v>
      </c>
      <c r="B8" s="127">
        <f>Soybeans!I26</f>
        <v>25</v>
      </c>
      <c r="C8" s="93"/>
      <c r="D8" s="670" t="s">
        <v>119</v>
      </c>
      <c r="E8" s="670"/>
      <c r="F8" s="670"/>
      <c r="G8" s="670"/>
      <c r="H8" s="670"/>
      <c r="I8" s="670"/>
      <c r="J8" s="670"/>
      <c r="K8" s="670"/>
      <c r="L8" s="670"/>
      <c r="M8" s="670"/>
      <c r="N8" s="670"/>
      <c r="O8" s="670"/>
      <c r="P8" s="670"/>
      <c r="Q8" s="670"/>
      <c r="R8" s="670"/>
      <c r="S8" s="670"/>
      <c r="T8" s="670"/>
      <c r="U8" s="670"/>
      <c r="V8" s="670"/>
      <c r="W8" s="670"/>
      <c r="X8" s="670"/>
      <c r="Y8" s="670"/>
      <c r="Z8" s="670"/>
    </row>
    <row r="9" spans="1:27" hidden="1" x14ac:dyDescent="0.2">
      <c r="A9" s="885" t="s">
        <v>104</v>
      </c>
      <c r="B9" s="886"/>
      <c r="C9" s="886"/>
      <c r="D9" s="886"/>
      <c r="E9" s="886"/>
      <c r="F9" s="886"/>
      <c r="G9" s="887"/>
      <c r="H9" s="665" t="s">
        <v>108</v>
      </c>
      <c r="I9" s="666"/>
      <c r="J9" s="666"/>
      <c r="K9" s="666"/>
      <c r="L9" s="666"/>
      <c r="M9" s="666"/>
      <c r="N9" s="666"/>
      <c r="O9" s="666"/>
      <c r="P9" s="666"/>
      <c r="Q9" s="666"/>
      <c r="R9" s="666"/>
      <c r="S9" s="666"/>
      <c r="T9" s="666"/>
      <c r="U9" s="666"/>
      <c r="V9" s="666"/>
      <c r="W9" s="666"/>
      <c r="X9" s="666"/>
      <c r="Y9" s="666"/>
      <c r="Z9" s="667"/>
    </row>
    <row r="10" spans="1:27" hidden="1" x14ac:dyDescent="0.2">
      <c r="A10" s="885" t="s">
        <v>105</v>
      </c>
      <c r="B10" s="886"/>
      <c r="C10" s="886"/>
      <c r="D10" s="886"/>
      <c r="E10" s="886"/>
      <c r="F10" s="886"/>
      <c r="G10" s="887"/>
      <c r="H10" s="665" t="s">
        <v>121</v>
      </c>
      <c r="I10" s="666"/>
      <c r="J10" s="666"/>
      <c r="K10" s="666"/>
      <c r="L10" s="666"/>
      <c r="M10" s="666"/>
      <c r="N10" s="666"/>
      <c r="O10" s="666"/>
      <c r="P10" s="666"/>
      <c r="Q10" s="666"/>
      <c r="R10" s="666"/>
      <c r="S10" s="666"/>
      <c r="T10" s="666"/>
      <c r="U10" s="666"/>
      <c r="V10" s="666"/>
      <c r="W10" s="666"/>
      <c r="X10" s="666"/>
      <c r="Y10" s="666"/>
      <c r="Z10" s="667"/>
    </row>
    <row r="11" spans="1:27" hidden="1" x14ac:dyDescent="0.2">
      <c r="A11" s="885" t="s">
        <v>118</v>
      </c>
      <c r="B11" s="886"/>
      <c r="C11" s="886"/>
      <c r="D11" s="886"/>
      <c r="E11" s="886"/>
      <c r="F11" s="886"/>
      <c r="G11" s="887"/>
      <c r="H11" s="665" t="s">
        <v>122</v>
      </c>
      <c r="I11" s="666"/>
      <c r="J11" s="666"/>
      <c r="K11" s="666"/>
      <c r="L11" s="666"/>
      <c r="M11" s="666"/>
      <c r="N11" s="666"/>
      <c r="O11" s="666"/>
      <c r="P11" s="666"/>
      <c r="Q11" s="666"/>
      <c r="R11" s="666"/>
      <c r="S11" s="666"/>
      <c r="T11" s="666"/>
      <c r="U11" s="666"/>
      <c r="V11" s="666"/>
      <c r="W11" s="666"/>
      <c r="X11" s="666"/>
      <c r="Y11" s="666"/>
      <c r="Z11" s="667"/>
    </row>
    <row r="12" spans="1:27" x14ac:dyDescent="0.2">
      <c r="A12" s="93" t="s">
        <v>82</v>
      </c>
      <c r="B12" s="128">
        <v>0.33</v>
      </c>
      <c r="C12" s="93"/>
      <c r="D12" s="93"/>
      <c r="F12" s="128"/>
      <c r="G12" s="129"/>
      <c r="H12" s="683"/>
      <c r="I12" s="666"/>
      <c r="J12" s="666"/>
      <c r="K12" s="666"/>
      <c r="L12" s="666"/>
      <c r="M12" s="666"/>
      <c r="N12" s="666"/>
      <c r="O12" s="666"/>
      <c r="P12" s="666"/>
      <c r="Q12" s="666"/>
      <c r="R12" s="666"/>
      <c r="S12" s="666"/>
      <c r="T12" s="666"/>
      <c r="U12" s="666"/>
      <c r="V12" s="666"/>
      <c r="W12" s="666"/>
      <c r="X12" s="666"/>
      <c r="Y12" s="666"/>
      <c r="Z12" s="667"/>
    </row>
    <row r="13" spans="1:27" x14ac:dyDescent="0.2">
      <c r="A13" s="75" t="s">
        <v>397</v>
      </c>
      <c r="B13" s="211">
        <v>0.15</v>
      </c>
      <c r="C13" s="93"/>
      <c r="D13" s="93"/>
      <c r="E13" s="128"/>
      <c r="F13" s="128"/>
      <c r="G13" s="129"/>
      <c r="H13" s="210"/>
      <c r="I13" s="225"/>
      <c r="J13" s="225"/>
      <c r="K13" s="225"/>
      <c r="L13" s="225"/>
      <c r="M13" s="225"/>
      <c r="N13" s="225"/>
      <c r="O13" s="225"/>
      <c r="P13" s="225"/>
      <c r="Q13" s="225"/>
      <c r="R13" s="225"/>
      <c r="S13" s="225"/>
      <c r="T13" s="225"/>
      <c r="U13" s="223"/>
      <c r="V13" s="223"/>
      <c r="W13" s="223"/>
      <c r="X13" s="223"/>
      <c r="Y13" s="223"/>
      <c r="Z13" s="224"/>
    </row>
    <row r="14" spans="1:27" ht="13.15" customHeight="1" x14ac:dyDescent="0.2">
      <c r="A14" s="75" t="s">
        <v>398</v>
      </c>
      <c r="B14" s="212">
        <v>15</v>
      </c>
      <c r="C14" s="93"/>
      <c r="D14" s="93"/>
      <c r="E14" s="130"/>
      <c r="F14" s="130"/>
      <c r="G14" s="130"/>
      <c r="H14" s="889" t="s">
        <v>101</v>
      </c>
      <c r="I14" s="890"/>
      <c r="J14" s="890"/>
      <c r="K14" s="890"/>
      <c r="L14" s="890"/>
      <c r="M14" s="890"/>
      <c r="N14" s="890"/>
      <c r="O14" s="890"/>
      <c r="P14" s="890"/>
      <c r="Q14" s="890"/>
      <c r="R14" s="890"/>
      <c r="S14" s="890"/>
      <c r="T14" s="891"/>
      <c r="U14" s="684" t="s">
        <v>96</v>
      </c>
      <c r="V14" s="685"/>
      <c r="W14" s="685"/>
      <c r="X14" s="685"/>
      <c r="Y14" s="685"/>
      <c r="Z14" s="686"/>
    </row>
    <row r="15" spans="1:27" x14ac:dyDescent="0.2">
      <c r="A15" s="93" t="s">
        <v>143</v>
      </c>
      <c r="B15" s="136">
        <f>IF('Machinery(Soybeans)'!C10='Machinery(Soybeans)'!B64,'Machinery(Soybeans)'!C11,'Machinery(Soybeans)'!D11)</f>
        <v>0.75</v>
      </c>
      <c r="C15" s="93"/>
      <c r="D15" s="93"/>
      <c r="E15" s="125"/>
      <c r="F15" s="130"/>
      <c r="G15" s="130"/>
      <c r="H15" s="892"/>
      <c r="I15" s="893"/>
      <c r="J15" s="893"/>
      <c r="K15" s="893"/>
      <c r="L15" s="893"/>
      <c r="M15" s="893"/>
      <c r="N15" s="893"/>
      <c r="O15" s="893"/>
      <c r="P15" s="893"/>
      <c r="Q15" s="893"/>
      <c r="R15" s="893"/>
      <c r="S15" s="893"/>
      <c r="T15" s="894"/>
      <c r="U15" s="37" t="str">
        <f>'Machinery(Soybeans)'!G19</f>
        <v>Increase</v>
      </c>
      <c r="V15" s="37" t="str">
        <f>'Machinery(Soybeans)'!J19</f>
        <v>Increase</v>
      </c>
      <c r="W15" s="37" t="str">
        <f>'Machinery(Soybeans)'!J19</f>
        <v>Increase</v>
      </c>
      <c r="X15" s="37" t="str">
        <f>'Machinery(Soybeans)'!H19</f>
        <v>Increase</v>
      </c>
      <c r="Y15" s="37" t="str">
        <f>'Machinery(Soybeans)'!I19</f>
        <v>Increase</v>
      </c>
      <c r="Z15" s="108" t="str">
        <f>'Machinery(Soybeans)'!K19</f>
        <v>Increase</v>
      </c>
      <c r="AA15" s="16"/>
    </row>
    <row r="16" spans="1:27" x14ac:dyDescent="0.2">
      <c r="A16" s="75" t="s">
        <v>399</v>
      </c>
      <c r="B16" s="213">
        <v>0.15</v>
      </c>
      <c r="C16" s="93"/>
      <c r="D16" s="93"/>
      <c r="E16" s="130"/>
      <c r="F16" s="130"/>
      <c r="G16" s="130"/>
      <c r="H16" s="895"/>
      <c r="I16" s="896"/>
      <c r="J16" s="896"/>
      <c r="K16" s="896"/>
      <c r="L16" s="896"/>
      <c r="M16" s="896"/>
      <c r="N16" s="896"/>
      <c r="O16" s="896"/>
      <c r="P16" s="896"/>
      <c r="Q16" s="896"/>
      <c r="R16" s="896"/>
      <c r="S16" s="896"/>
      <c r="T16" s="897"/>
      <c r="U16" s="103">
        <f>IF('Machinery(Soybeans)'!G19='Machinery(Soybeans)'!B53,0,'Machinery(Soybeans)'!G20)</f>
        <v>0</v>
      </c>
      <c r="V16" s="103">
        <f>IF('Machinery(Soybeans)'!J19='Machinery(Soybeans)'!B53,0,'Machinery(Soybeans)'!J20)</f>
        <v>0</v>
      </c>
      <c r="W16" s="103">
        <f>IF('Machinery(Soybeans)'!J19='Machinery(Soybeans)'!B53,0,'Machinery(Soybeans)'!J20)</f>
        <v>0</v>
      </c>
      <c r="X16" s="103">
        <f>IF('Machinery(Soybeans)'!H19='Machinery(Soybeans)'!B53,0,'Machinery(Soybeans)'!H20)</f>
        <v>0</v>
      </c>
      <c r="Y16" s="103">
        <f>IF('Machinery(Soybeans)'!I19='Machinery(Soybeans)'!B53,0,'Machinery(Soybeans)'!I20)</f>
        <v>0</v>
      </c>
      <c r="Z16" s="118">
        <f>IF('Machinery(Soybeans)'!K19='Machinery(Soybeans)'!B53,0,'Machinery(Soybeans)'!K20)</f>
        <v>0</v>
      </c>
    </row>
    <row r="17" spans="1:26" s="1" customFormat="1" ht="40.5" customHeight="1" x14ac:dyDescent="0.2">
      <c r="A17" s="3" t="s">
        <v>0</v>
      </c>
      <c r="B17" s="112" t="s">
        <v>295</v>
      </c>
      <c r="C17" s="112" t="s">
        <v>296</v>
      </c>
      <c r="D17" s="112" t="s">
        <v>294</v>
      </c>
      <c r="E17" s="25" t="s">
        <v>1</v>
      </c>
      <c r="F17" s="25" t="s">
        <v>109</v>
      </c>
      <c r="G17" s="25" t="s">
        <v>117</v>
      </c>
      <c r="H17" s="155" t="s">
        <v>394</v>
      </c>
      <c r="I17" s="215" t="s">
        <v>10</v>
      </c>
      <c r="J17" s="215" t="s">
        <v>401</v>
      </c>
      <c r="K17" s="215" t="s">
        <v>402</v>
      </c>
      <c r="L17" s="3" t="s">
        <v>2</v>
      </c>
      <c r="M17" s="215" t="s">
        <v>6</v>
      </c>
      <c r="N17" s="3" t="s">
        <v>3</v>
      </c>
      <c r="O17" s="215" t="s">
        <v>400</v>
      </c>
      <c r="P17" s="3" t="s">
        <v>4</v>
      </c>
      <c r="Q17" s="3" t="s">
        <v>7</v>
      </c>
      <c r="R17" s="3" t="s">
        <v>8</v>
      </c>
      <c r="S17" s="3" t="s">
        <v>9</v>
      </c>
      <c r="T17" s="3"/>
      <c r="U17" s="3" t="s">
        <v>86</v>
      </c>
      <c r="V17" s="3" t="s">
        <v>88</v>
      </c>
      <c r="W17" s="3" t="s">
        <v>71</v>
      </c>
      <c r="X17" s="3" t="s">
        <v>8</v>
      </c>
      <c r="Y17" s="3" t="s">
        <v>89</v>
      </c>
      <c r="Z17" s="3" t="s">
        <v>50</v>
      </c>
    </row>
    <row r="18" spans="1:26" x14ac:dyDescent="0.2">
      <c r="A18" s="4"/>
      <c r="B18" s="4"/>
      <c r="C18" s="4"/>
      <c r="D18" s="4"/>
      <c r="E18" s="26"/>
      <c r="F18" s="24"/>
      <c r="G18" s="31"/>
      <c r="H18" s="9"/>
      <c r="I18" s="4"/>
      <c r="J18" s="4"/>
      <c r="K18" s="4"/>
      <c r="L18" s="4"/>
      <c r="M18" s="4"/>
      <c r="N18" s="4"/>
      <c r="O18" s="4"/>
      <c r="P18" s="4"/>
      <c r="Q18" s="4"/>
      <c r="R18" s="4"/>
      <c r="S18" s="4"/>
      <c r="T18" s="4"/>
      <c r="U18" s="4"/>
      <c r="V18" s="4"/>
      <c r="W18" s="4"/>
      <c r="X18" s="4"/>
      <c r="Y18" s="4"/>
      <c r="Z18" s="4"/>
    </row>
    <row r="19" spans="1:26" x14ac:dyDescent="0.2">
      <c r="A19" s="10" t="s">
        <v>11</v>
      </c>
      <c r="B19" s="10"/>
      <c r="C19" s="10"/>
      <c r="D19" s="10"/>
      <c r="E19" s="27"/>
      <c r="F19" s="28"/>
      <c r="G19" s="32"/>
      <c r="H19" s="6"/>
      <c r="I19" s="6"/>
      <c r="J19" s="6"/>
      <c r="K19" s="6"/>
      <c r="L19" s="9"/>
      <c r="M19" s="9"/>
      <c r="N19" s="4"/>
      <c r="O19" s="4"/>
      <c r="P19" s="4"/>
      <c r="Q19" s="4"/>
      <c r="R19" s="4"/>
      <c r="S19" s="4"/>
      <c r="T19" s="4"/>
      <c r="U19" s="4"/>
      <c r="V19" s="4"/>
      <c r="W19" s="4"/>
      <c r="X19" s="4"/>
      <c r="Y19" s="4"/>
      <c r="Z19" s="4"/>
    </row>
    <row r="20" spans="1:26" x14ac:dyDescent="0.2">
      <c r="A20" s="9" t="s">
        <v>12</v>
      </c>
      <c r="B20" s="115"/>
      <c r="C20" s="115"/>
      <c r="D20" s="132"/>
      <c r="E20" s="78"/>
      <c r="F20" s="30"/>
      <c r="G20" s="33"/>
      <c r="H20" s="6"/>
      <c r="I20" s="6">
        <f>IF(G20&gt;0,G20,H20-(L20*B$2*1.05)+M20-N20*12.5+P20)</f>
        <v>1.0105354271885512</v>
      </c>
      <c r="J20" s="6"/>
      <c r="K20" s="6"/>
      <c r="L20" s="11">
        <v>2.06175</v>
      </c>
      <c r="M20" s="76">
        <f t="shared" ref="M20:M29" si="0">L20*B$3*(1+B$13)</f>
        <v>4.1492718749999993</v>
      </c>
      <c r="N20" s="12">
        <v>0.25072390572390574</v>
      </c>
      <c r="O20" s="216">
        <f t="shared" ref="O20:O29" si="1">N20*(1+B$16)</f>
        <v>0.28833249158249158</v>
      </c>
      <c r="P20" s="76">
        <f>O20*B$4*(1-B$7)+O20*B$6*(B$7)</f>
        <v>4.3249873737373736</v>
      </c>
      <c r="Q20" s="5">
        <f t="shared" ref="Q20:Q29" si="2">I20-M20-P20</f>
        <v>-7.4637238215488217</v>
      </c>
      <c r="R20" s="5">
        <f>Q20*B$12</f>
        <v>-2.4630288611111113</v>
      </c>
      <c r="S20" s="5">
        <f t="shared" ref="S20:S29" si="3">Q20-R20</f>
        <v>-5.0006949604377109</v>
      </c>
      <c r="T20" s="4"/>
      <c r="U20" s="21">
        <f t="shared" ref="U20:U29" si="4">IF(U$15="Increase",IF(F20="y",0,IF($E20&gt;0,M20*$E20*(1+U$16),0)),IF(F20="y",0,IF($E20&gt;0,M20*$E20*(1-U$16),0)))</f>
        <v>0</v>
      </c>
      <c r="V20" s="21">
        <f t="shared" ref="V20:V23" si="5">IF(V$15="Increase",IF(F20="y",0,IF($E20&gt;0,(O20*B$4*(1-B$7))*$E20*(1+V$16),0)),IF(F20="y",0,IF($E20&gt;0,(O20*B$4*(1-B$7))*$E20*(1-V$16),0)))</f>
        <v>0</v>
      </c>
      <c r="W20" s="21">
        <f t="shared" ref="W20:W23" si="6">IF(W$15="Increase",IF(F20="y",0,IF($E20&gt;0,(O20*B$6*(B$7))*$E20*(1+W$16),0)),IF(F20="y",0,IF($E20&gt;0,(O20*B$6*(B$7))*$E20*(1-W$16),0)))</f>
        <v>0</v>
      </c>
      <c r="X20" s="21">
        <f t="shared" ref="X20:X29" si="7">IF(X$15="Increase",IF(F20="y",0,IF($E20&gt;0,R20*$E20*(1+X$16),0)),IF(F20="y",0,IF($E20&gt;0,R20*$E20*(1-X$16),0)))</f>
        <v>0</v>
      </c>
      <c r="Y20" s="21">
        <f t="shared" ref="Y20:Y29" si="8">IF(Y$15="Increase",IF(F20="y",0,IF($E20&gt;0,S20*$E20*(1+Y$16),0)),IF(F20="y",0,IF($E20&gt;0,S20*$E20*(1-Y$16),0)))</f>
        <v>0</v>
      </c>
      <c r="Z20" s="21">
        <f t="shared" ref="Z20:Z29" si="9">IF(Z$15="Increase",IF(F20="y",I20*E20*(1+Z$16),0),IF(F20="y",I20*E20*(1-Z$16),0))</f>
        <v>0</v>
      </c>
    </row>
    <row r="21" spans="1:26" x14ac:dyDescent="0.2">
      <c r="A21" s="9" t="s">
        <v>13</v>
      </c>
      <c r="B21" s="115">
        <v>0.5</v>
      </c>
      <c r="C21" s="115">
        <v>0</v>
      </c>
      <c r="D21" s="132">
        <f>IF('Machinery(Soybeans)'!B33='Machinery(Soybeans)'!D54,'Machinery(Soybeans)'!D33,IF('Machinery(Soybeans)'!B34='Machinery(Soybeans)'!D58,'Machinery(Soybeans)'!D34,0))</f>
        <v>0</v>
      </c>
      <c r="E21" s="174">
        <f>IF('Machinery(Soybeans)'!C16='Machinery(Soybeans)'!B58,0,IF('Machinery(Soybeans)'!C17='Machinery(Soybeans)'!B63,D21,IF(OR('Machinery(Soybeans)'!B33='Machinery(Soybeans)'!D54,'Machinery(Soybeans)'!B34='Machinery(Soybeans)'!D58),B21,0)))</f>
        <v>0</v>
      </c>
      <c r="F21" s="175" t="str">
        <f>IF('Machinery(Soybeans)'!C17='Machinery(Soybeans)'!B64,'Machinery(Soybeans)'!B49,IF('Machinery(Soybeans)'!B33='Machinery(Soybeans)'!D54,'Machinery(Soybeans)'!E33,IF('Machinery(Soybeans)'!B34='Machinery(Soybeans)'!D58,'Machinery(Soybeans)'!E34,'Machinery(Soybeans)'!B49)))</f>
        <v>N</v>
      </c>
      <c r="G21" s="33"/>
      <c r="H21" s="6">
        <v>18</v>
      </c>
      <c r="I21" s="214">
        <f>H21+J21+K21</f>
        <v>17.734999999999999</v>
      </c>
      <c r="J21" s="214">
        <f>L21*(B$3-B$2)</f>
        <v>-0.26500000000000001</v>
      </c>
      <c r="K21" s="214">
        <f>(B$4*(1-B$7)+B$6*(B$7) - B$14)*O21</f>
        <v>0</v>
      </c>
      <c r="L21" s="11">
        <v>1.06</v>
      </c>
      <c r="M21" s="76">
        <f t="shared" si="0"/>
        <v>2.1332499999999999</v>
      </c>
      <c r="N21" s="12">
        <v>6.6969696969696971E-2</v>
      </c>
      <c r="O21" s="216">
        <f t="shared" si="1"/>
        <v>7.7015151515151509E-2</v>
      </c>
      <c r="P21" s="76">
        <f t="shared" ref="P21:P29" si="10">O21*B$4*(1-B$7)+O21*B$6*(B$7)</f>
        <v>1.1552272727272725</v>
      </c>
      <c r="Q21" s="5">
        <f t="shared" si="2"/>
        <v>14.446522727272727</v>
      </c>
      <c r="R21" s="5">
        <f>Q21*B$12</f>
        <v>4.7673525000000003</v>
      </c>
      <c r="S21" s="5">
        <f t="shared" si="3"/>
        <v>9.6791702272727278</v>
      </c>
      <c r="T21" s="4"/>
      <c r="U21" s="21">
        <f t="shared" si="4"/>
        <v>0</v>
      </c>
      <c r="V21" s="21">
        <f t="shared" si="5"/>
        <v>0</v>
      </c>
      <c r="W21" s="21">
        <f t="shared" si="6"/>
        <v>0</v>
      </c>
      <c r="X21" s="21">
        <f t="shared" si="7"/>
        <v>0</v>
      </c>
      <c r="Y21" s="21">
        <f t="shared" si="8"/>
        <v>0</v>
      </c>
      <c r="Z21" s="21">
        <f t="shared" si="9"/>
        <v>0</v>
      </c>
    </row>
    <row r="22" spans="1:26" x14ac:dyDescent="0.2">
      <c r="A22" s="9" t="s">
        <v>14</v>
      </c>
      <c r="B22" s="115">
        <v>0.5</v>
      </c>
      <c r="C22" s="115">
        <v>0</v>
      </c>
      <c r="D22" s="132">
        <f>IF('Machinery(Soybeans)'!B33='Machinery(Soybeans)'!D55,'Machinery(Soybeans)'!D33,IF('Machinery(Soybeans)'!B34='Machinery(Soybeans)'!D59,'Machinery(Soybeans)'!D34,0))</f>
        <v>0</v>
      </c>
      <c r="E22" s="174">
        <f>IF('Machinery(Soybeans)'!C16='Machinery(Soybeans)'!B58,0,IF('Machinery(Soybeans)'!C17='Machinery(Soybeans)'!B63,D22,IF(OR('Machinery(Soybeans)'!B33='Machinery(Soybeans)'!D55,'Machinery(Soybeans)'!B34='Machinery(Soybeans)'!D59),B22,0)))</f>
        <v>0</v>
      </c>
      <c r="F22" s="175" t="str">
        <f>IF('Machinery(Soybeans)'!C17='Machinery(Soybeans)'!B64,'Machinery(Soybeans)'!B49,IF('Machinery(Soybeans)'!B33='Machinery(Soybeans)'!D55,'Machinery(Soybeans)'!E33,IF('Machinery(Soybeans)'!B34='Machinery(Soybeans)'!D59,'Machinery(Soybeans)'!E34,'Machinery(Soybeans)'!B49)))</f>
        <v>N</v>
      </c>
      <c r="G22" s="33"/>
      <c r="H22" s="6">
        <v>15.5</v>
      </c>
      <c r="I22" s="214">
        <f>H22+J22+K22</f>
        <v>15.2745</v>
      </c>
      <c r="J22" s="214">
        <f>L22*(B$3-B$2)</f>
        <v>-0.22550000000000001</v>
      </c>
      <c r="K22" s="214">
        <f>(B$4*(1-B$7)+B$6*(B$7) - B$14)*O22</f>
        <v>0</v>
      </c>
      <c r="L22" s="11">
        <v>0.90200000000000002</v>
      </c>
      <c r="M22" s="76">
        <f t="shared" si="0"/>
        <v>1.815275</v>
      </c>
      <c r="N22" s="12">
        <v>0.13191919191919191</v>
      </c>
      <c r="O22" s="216">
        <f t="shared" si="1"/>
        <v>0.15170707070707068</v>
      </c>
      <c r="P22" s="76">
        <f t="shared" si="10"/>
        <v>2.2756060606060604</v>
      </c>
      <c r="Q22" s="5">
        <f t="shared" si="2"/>
        <v>11.18361893939394</v>
      </c>
      <c r="R22" s="5">
        <f>Q22*B$12</f>
        <v>3.6905942500000002</v>
      </c>
      <c r="S22" s="5">
        <f t="shared" si="3"/>
        <v>7.4930246893939394</v>
      </c>
      <c r="T22" s="4"/>
      <c r="U22" s="21">
        <f t="shared" si="4"/>
        <v>0</v>
      </c>
      <c r="V22" s="21">
        <f t="shared" si="5"/>
        <v>0</v>
      </c>
      <c r="W22" s="21">
        <f t="shared" si="6"/>
        <v>0</v>
      </c>
      <c r="X22" s="21">
        <f t="shared" si="7"/>
        <v>0</v>
      </c>
      <c r="Y22" s="21">
        <f t="shared" si="8"/>
        <v>0</v>
      </c>
      <c r="Z22" s="21">
        <f t="shared" si="9"/>
        <v>0</v>
      </c>
    </row>
    <row r="23" spans="1:26" x14ac:dyDescent="0.2">
      <c r="A23" s="9" t="s">
        <v>15</v>
      </c>
      <c r="B23" s="9"/>
      <c r="C23" s="9"/>
      <c r="D23" s="9"/>
      <c r="E23" s="176"/>
      <c r="F23" s="175"/>
      <c r="G23" s="33"/>
      <c r="H23" s="6"/>
      <c r="I23" s="6">
        <f>IF(G23&gt;0,G23,H23-(L23*B$2*1.05)+M23-N23*12.5+P23)</f>
        <v>0.50489351851851749</v>
      </c>
      <c r="J23" s="6"/>
      <c r="K23" s="6"/>
      <c r="L23" s="11">
        <v>1.87</v>
      </c>
      <c r="M23" s="76">
        <f t="shared" si="0"/>
        <v>3.7633749999999995</v>
      </c>
      <c r="N23" s="12">
        <v>0.14074074074074072</v>
      </c>
      <c r="O23" s="216">
        <f t="shared" si="1"/>
        <v>0.16185185185185183</v>
      </c>
      <c r="P23" s="76">
        <f t="shared" si="10"/>
        <v>2.4277777777777776</v>
      </c>
      <c r="Q23" s="5">
        <f t="shared" si="2"/>
        <v>-5.6862592592592591</v>
      </c>
      <c r="R23" s="5">
        <f>Q23*B$12</f>
        <v>-1.8764655555555556</v>
      </c>
      <c r="S23" s="5">
        <f t="shared" si="3"/>
        <v>-3.8097937037037033</v>
      </c>
      <c r="T23" s="4"/>
      <c r="U23" s="21">
        <f t="shared" si="4"/>
        <v>0</v>
      </c>
      <c r="V23" s="21">
        <f t="shared" si="5"/>
        <v>0</v>
      </c>
      <c r="W23" s="21">
        <f t="shared" si="6"/>
        <v>0</v>
      </c>
      <c r="X23" s="21">
        <f t="shared" si="7"/>
        <v>0</v>
      </c>
      <c r="Y23" s="21">
        <f t="shared" si="8"/>
        <v>0</v>
      </c>
      <c r="Z23" s="21">
        <f t="shared" si="9"/>
        <v>0</v>
      </c>
    </row>
    <row r="24" spans="1:26" x14ac:dyDescent="0.2">
      <c r="A24" s="9"/>
      <c r="B24" s="9"/>
      <c r="C24" s="9"/>
      <c r="D24" s="9"/>
      <c r="E24" s="176"/>
      <c r="F24" s="175"/>
      <c r="G24" s="33"/>
      <c r="H24" s="6"/>
      <c r="I24" s="6"/>
      <c r="J24" s="6"/>
      <c r="K24" s="6"/>
      <c r="L24" s="11"/>
      <c r="M24" s="5"/>
      <c r="N24" s="12"/>
      <c r="O24" s="12"/>
      <c r="P24" s="5"/>
      <c r="Q24" s="5"/>
      <c r="R24" s="5"/>
      <c r="S24" s="5"/>
      <c r="T24" s="4"/>
      <c r="U24" s="21"/>
      <c r="V24" s="21"/>
      <c r="W24" s="21"/>
      <c r="X24" s="21"/>
      <c r="Y24" s="21"/>
      <c r="Z24" s="21"/>
    </row>
    <row r="25" spans="1:26" x14ac:dyDescent="0.2">
      <c r="A25" s="9" t="s">
        <v>16</v>
      </c>
      <c r="B25" s="115">
        <v>2</v>
      </c>
      <c r="C25" s="115">
        <v>0</v>
      </c>
      <c r="D25" s="132">
        <f>IF('Machinery(Soybeans)'!C16='Machinery(Soybeans)'!B58,0,'Machinery(Soybeans)'!D27)</f>
        <v>0</v>
      </c>
      <c r="E25" s="174">
        <f>IF('Machinery(Soybeans)'!$C$17='Machinery(Soybeans)'!$B$63,D25,IF('Machinery(Soybeans)'!$C$16='Machinery(Soybeans)'!$B$59,B25,C25))</f>
        <v>0</v>
      </c>
      <c r="F25" s="175" t="str">
        <f>IF('Machinery(Soybeans)'!C17='Machinery(Soybeans)'!B64,'Machinery(Soybeans)'!B49,'Machinery(Soybeans)'!E27)</f>
        <v>N</v>
      </c>
      <c r="G25" s="33"/>
      <c r="H25" s="6">
        <v>14.5</v>
      </c>
      <c r="I25" s="214">
        <f>H25+J25+K25</f>
        <v>14.343999999999999</v>
      </c>
      <c r="J25" s="214">
        <f>L25*(B$3-B$2)</f>
        <v>-0.15600000000000003</v>
      </c>
      <c r="K25" s="214">
        <f>(B$4*(1-B$7)+B$6*(B$7) - B$14)*O25</f>
        <v>0</v>
      </c>
      <c r="L25" s="11">
        <v>0.62400000000000011</v>
      </c>
      <c r="M25" s="76">
        <f t="shared" si="0"/>
        <v>1.2558</v>
      </c>
      <c r="N25" s="12">
        <v>4.631313131313132E-2</v>
      </c>
      <c r="O25" s="216">
        <f t="shared" si="1"/>
        <v>5.3260101010101014E-2</v>
      </c>
      <c r="P25" s="76">
        <f t="shared" si="10"/>
        <v>0.7989015151515152</v>
      </c>
      <c r="Q25" s="5">
        <f t="shared" si="2"/>
        <v>12.289298484848484</v>
      </c>
      <c r="R25" s="5">
        <f>Q25*B$12</f>
        <v>4.0554684999999999</v>
      </c>
      <c r="S25" s="5">
        <f t="shared" si="3"/>
        <v>8.2338299848484837</v>
      </c>
      <c r="T25" s="4"/>
      <c r="U25" s="21">
        <f t="shared" si="4"/>
        <v>0</v>
      </c>
      <c r="V25" s="21">
        <f t="shared" ref="V25:V29" si="11">IF(V$15="Increase",IF(F25="y",0,IF($E25&gt;0,(O25*B$4*(1-B$7))*$E25*(1+V$16),0)),IF(F25="y",0,IF($E25&gt;0,(O25*B$4*(1-B$7))*$E25*(1-V$16),0)))</f>
        <v>0</v>
      </c>
      <c r="W25" s="21">
        <f t="shared" ref="W25:W29" si="12">IF(W$15="Increase",IF(F25="y",0,IF($E25&gt;0,(O25*B$6*(B$7))*$E25*(1+W$16),0)),IF(F25="y",0,IF($E25&gt;0,(O25*B$6*(B$7))*$E25*(1-W$16),0)))</f>
        <v>0</v>
      </c>
      <c r="X25" s="21">
        <f t="shared" si="7"/>
        <v>0</v>
      </c>
      <c r="Y25" s="21">
        <f t="shared" si="8"/>
        <v>0</v>
      </c>
      <c r="Z25" s="21">
        <f t="shared" si="9"/>
        <v>0</v>
      </c>
    </row>
    <row r="26" spans="1:26" x14ac:dyDescent="0.2">
      <c r="A26" s="9" t="s">
        <v>17</v>
      </c>
      <c r="B26" s="9"/>
      <c r="C26" s="9"/>
      <c r="D26" s="9"/>
      <c r="E26" s="176"/>
      <c r="F26" s="175"/>
      <c r="G26" s="33"/>
      <c r="H26" s="6"/>
      <c r="I26" s="6">
        <f>IF(G26&gt;0,G26,H26-(L26*B$2*1.05)+M26-N26*12.5+P26)</f>
        <v>0.43416363636363609</v>
      </c>
      <c r="J26" s="6"/>
      <c r="K26" s="6"/>
      <c r="L26" s="11">
        <v>0.36799999999999999</v>
      </c>
      <c r="M26" s="76">
        <f t="shared" si="0"/>
        <v>0.74059999999999993</v>
      </c>
      <c r="N26" s="12">
        <v>9.818181818181819E-2</v>
      </c>
      <c r="O26" s="216">
        <f t="shared" si="1"/>
        <v>0.1129090909090909</v>
      </c>
      <c r="P26" s="76">
        <f t="shared" si="10"/>
        <v>1.6936363636363636</v>
      </c>
      <c r="Q26" s="5">
        <f t="shared" si="2"/>
        <v>-2.0000727272727277</v>
      </c>
      <c r="R26" s="5">
        <f>Q26*B$12</f>
        <v>-0.66002400000000017</v>
      </c>
      <c r="S26" s="5">
        <f t="shared" si="3"/>
        <v>-1.3400487272727275</v>
      </c>
      <c r="T26" s="4"/>
      <c r="U26" s="21">
        <f t="shared" si="4"/>
        <v>0</v>
      </c>
      <c r="V26" s="21">
        <f t="shared" si="11"/>
        <v>0</v>
      </c>
      <c r="W26" s="21">
        <f t="shared" si="12"/>
        <v>0</v>
      </c>
      <c r="X26" s="21">
        <f t="shared" si="7"/>
        <v>0</v>
      </c>
      <c r="Y26" s="21">
        <f t="shared" si="8"/>
        <v>0</v>
      </c>
      <c r="Z26" s="21">
        <f t="shared" si="9"/>
        <v>0</v>
      </c>
    </row>
    <row r="27" spans="1:26" x14ac:dyDescent="0.2">
      <c r="A27" s="9" t="s">
        <v>18</v>
      </c>
      <c r="B27" s="115">
        <v>0.5</v>
      </c>
      <c r="C27" s="115">
        <v>0</v>
      </c>
      <c r="D27" s="132">
        <f>IF('Machinery(Soybeans)'!B33='Machinery(Soybeans)'!D56,'Machinery(Soybeans)'!D33,IF('Machinery(Soybeans)'!B34='Machinery(Soybeans)'!D60,'Machinery(Soybeans)'!D34,0))</f>
        <v>0</v>
      </c>
      <c r="E27" s="174">
        <f>IF('Machinery(Soybeans)'!C16='Machinery(Soybeans)'!B58,0,IF('Machinery(Soybeans)'!C17='Machinery(Soybeans)'!B63,D27,IF(OR('Machinery(Soybeans)'!B33='Machinery(Soybeans)'!D56,'Machinery(Soybeans)'!B34='Machinery(Soybeans)'!D60),B27,0)))</f>
        <v>0</v>
      </c>
      <c r="F27" s="175" t="str">
        <f>IF('Machinery(Soybeans)'!C17='Machinery(Soybeans)'!B64,'Machinery(Soybeans)'!B49,IF('Machinery(Soybeans)'!B33='Machinery(Soybeans)'!D56,'Machinery(Soybeans)'!E33,IF('Machinery(Soybeans)'!B34='Machinery(Soybeans)'!D60,'Machinery(Soybeans)'!E34,'Machinery(Soybeans)'!B49)))</f>
        <v>N</v>
      </c>
      <c r="G27" s="33"/>
      <c r="H27" s="6">
        <v>19.5</v>
      </c>
      <c r="I27" s="214">
        <f>H27+J27+K27</f>
        <v>18.916374999999999</v>
      </c>
      <c r="J27" s="214">
        <f>L27*(B$3-B$2)</f>
        <v>-0.58362499999999995</v>
      </c>
      <c r="K27" s="214">
        <f>(B$4*(1-B$7)+B$6*(B$7) - B$14)*O27</f>
        <v>0</v>
      </c>
      <c r="L27" s="11">
        <v>2.3344999999999998</v>
      </c>
      <c r="M27" s="76">
        <f t="shared" si="0"/>
        <v>4.6981812499999993</v>
      </c>
      <c r="N27" s="12">
        <v>0.20636363636363636</v>
      </c>
      <c r="O27" s="216">
        <f t="shared" si="1"/>
        <v>0.23731818181818179</v>
      </c>
      <c r="P27" s="76">
        <f t="shared" si="10"/>
        <v>3.5597727272727266</v>
      </c>
      <c r="Q27" s="5">
        <f t="shared" si="2"/>
        <v>10.658421022727273</v>
      </c>
      <c r="R27" s="5">
        <f>Q27*B$12</f>
        <v>3.5172789375000004</v>
      </c>
      <c r="S27" s="5">
        <f t="shared" si="3"/>
        <v>7.1411420852272727</v>
      </c>
      <c r="T27" s="4"/>
      <c r="U27" s="21">
        <f t="shared" si="4"/>
        <v>0</v>
      </c>
      <c r="V27" s="21">
        <f t="shared" si="11"/>
        <v>0</v>
      </c>
      <c r="W27" s="21">
        <f t="shared" si="12"/>
        <v>0</v>
      </c>
      <c r="X27" s="21">
        <f t="shared" si="7"/>
        <v>0</v>
      </c>
      <c r="Y27" s="21">
        <f t="shared" si="8"/>
        <v>0</v>
      </c>
      <c r="Z27" s="21">
        <f t="shared" si="9"/>
        <v>0</v>
      </c>
    </row>
    <row r="28" spans="1:26" x14ac:dyDescent="0.2">
      <c r="A28" s="9" t="s">
        <v>19</v>
      </c>
      <c r="B28" s="9"/>
      <c r="C28" s="9"/>
      <c r="D28" s="9"/>
      <c r="E28" s="176"/>
      <c r="F28" s="175"/>
      <c r="G28" s="33"/>
      <c r="H28" s="6"/>
      <c r="I28" s="6">
        <f>IF(G28&gt;0,G28,H28-(L28*B$2*1.05)+M28-N28*12.5+P28)</f>
        <v>0.45409529671717141</v>
      </c>
      <c r="J28" s="6"/>
      <c r="K28" s="6"/>
      <c r="L28" s="11">
        <v>1.9442499999999998</v>
      </c>
      <c r="M28" s="76">
        <f t="shared" si="0"/>
        <v>3.912803124999999</v>
      </c>
      <c r="N28" s="12">
        <v>0.13141414141414143</v>
      </c>
      <c r="O28" s="216">
        <f t="shared" si="1"/>
        <v>0.15112626262626264</v>
      </c>
      <c r="P28" s="76">
        <f t="shared" si="10"/>
        <v>2.2668939393939396</v>
      </c>
      <c r="Q28" s="5">
        <f t="shared" si="2"/>
        <v>-5.7256017676767677</v>
      </c>
      <c r="R28" s="5">
        <f>Q28*B$12</f>
        <v>-1.8894485833333334</v>
      </c>
      <c r="S28" s="5">
        <f t="shared" si="3"/>
        <v>-3.8361531843434342</v>
      </c>
      <c r="T28" s="4"/>
      <c r="U28" s="21">
        <f t="shared" si="4"/>
        <v>0</v>
      </c>
      <c r="V28" s="21">
        <f t="shared" si="11"/>
        <v>0</v>
      </c>
      <c r="W28" s="21">
        <f t="shared" si="12"/>
        <v>0</v>
      </c>
      <c r="X28" s="21">
        <f t="shared" si="7"/>
        <v>0</v>
      </c>
      <c r="Y28" s="21">
        <f t="shared" si="8"/>
        <v>0</v>
      </c>
      <c r="Z28" s="21">
        <f t="shared" si="9"/>
        <v>0</v>
      </c>
    </row>
    <row r="29" spans="1:26" x14ac:dyDescent="0.2">
      <c r="A29" s="9" t="s">
        <v>20</v>
      </c>
      <c r="B29" s="115">
        <v>0.5</v>
      </c>
      <c r="C29" s="115">
        <v>0.5</v>
      </c>
      <c r="D29" s="132">
        <f>IF('Machinery(Soybeans)'!C17='Machinery(Soybeans)'!B63,'Machinery(Soybeans)'!D32,0)</f>
        <v>0</v>
      </c>
      <c r="E29" s="174">
        <f>IF('Machinery(Soybeans)'!B32='Machinery(Soybeans)'!D51,0,IF('Machinery(Soybeans)'!C17='Machinery(Soybeans)'!B63,D29,IF('Machinery(Soybeans)'!B32='Machinery(Soybeans)'!D52,IF('Machinery(Soybeans)'!C16='Machinery(Soybeans)'!B59,B29,C29))))</f>
        <v>0</v>
      </c>
      <c r="F29" s="175" t="str">
        <f>IF('Machinery(Soybeans)'!C17='Machinery(Soybeans)'!B64,'Machinery(Soybeans)'!B49,IF('Machinery(Soybeans)'!B32='Machinery(Soybeans)'!D52,'Machinery(Soybeans)'!E32,'Machinery(Soybeans)'!B49))</f>
        <v>N</v>
      </c>
      <c r="G29" s="33"/>
      <c r="H29" s="6">
        <v>13</v>
      </c>
      <c r="I29" s="214">
        <f>H29+J29+K29</f>
        <v>12.78725</v>
      </c>
      <c r="J29" s="214">
        <f>L29*(B$3-B$2)</f>
        <v>-0.21274999999999999</v>
      </c>
      <c r="K29" s="214">
        <f>(B$4*(1-B$7)+B$6*(B$7) - B$14)*O29</f>
        <v>0</v>
      </c>
      <c r="L29" s="11">
        <v>0.85099999999999998</v>
      </c>
      <c r="M29" s="76">
        <f t="shared" si="0"/>
        <v>1.7126374999999998</v>
      </c>
      <c r="N29" s="12">
        <v>0.14181818181818182</v>
      </c>
      <c r="O29" s="216">
        <f t="shared" si="1"/>
        <v>0.16309090909090906</v>
      </c>
      <c r="P29" s="76">
        <f t="shared" si="10"/>
        <v>2.4463636363636359</v>
      </c>
      <c r="Q29" s="5">
        <f t="shared" si="2"/>
        <v>8.6282488636363652</v>
      </c>
      <c r="R29" s="5">
        <f>Q29*B$12</f>
        <v>2.8473221250000007</v>
      </c>
      <c r="S29" s="5">
        <f t="shared" si="3"/>
        <v>5.7809267386363645</v>
      </c>
      <c r="T29" s="4"/>
      <c r="U29" s="21">
        <f t="shared" si="4"/>
        <v>0</v>
      </c>
      <c r="V29" s="21">
        <f t="shared" si="11"/>
        <v>0</v>
      </c>
      <c r="W29" s="21">
        <f t="shared" si="12"/>
        <v>0</v>
      </c>
      <c r="X29" s="21">
        <f t="shared" si="7"/>
        <v>0</v>
      </c>
      <c r="Y29" s="21">
        <f t="shared" si="8"/>
        <v>0</v>
      </c>
      <c r="Z29" s="21">
        <f t="shared" si="9"/>
        <v>0</v>
      </c>
    </row>
    <row r="30" spans="1:26" x14ac:dyDescent="0.2">
      <c r="A30" s="9"/>
      <c r="B30" s="9"/>
      <c r="C30" s="9"/>
      <c r="D30" s="9"/>
      <c r="E30" s="176"/>
      <c r="F30" s="175"/>
      <c r="G30" s="33"/>
      <c r="H30" s="6"/>
      <c r="I30" s="6"/>
      <c r="J30" s="6"/>
      <c r="K30" s="6"/>
      <c r="L30" s="9"/>
      <c r="M30" s="4"/>
      <c r="N30" s="9"/>
      <c r="O30" s="9"/>
      <c r="P30" s="4"/>
      <c r="Q30" s="4"/>
      <c r="R30" s="4"/>
      <c r="S30" s="4"/>
      <c r="T30" s="4"/>
      <c r="U30" s="4"/>
      <c r="V30" s="9"/>
      <c r="W30" s="9"/>
      <c r="X30" s="4"/>
      <c r="Y30" s="4"/>
      <c r="Z30" s="4"/>
    </row>
    <row r="31" spans="1:26" x14ac:dyDescent="0.2">
      <c r="A31" s="10" t="s">
        <v>21</v>
      </c>
      <c r="B31" s="10"/>
      <c r="C31" s="10"/>
      <c r="D31" s="10"/>
      <c r="E31" s="176"/>
      <c r="F31" s="175"/>
      <c r="G31" s="33"/>
      <c r="H31" s="6"/>
      <c r="I31" s="6"/>
      <c r="J31" s="6"/>
      <c r="K31" s="6"/>
      <c r="L31" s="9"/>
      <c r="M31" s="4"/>
      <c r="N31" s="9"/>
      <c r="O31" s="9"/>
      <c r="P31" s="4"/>
      <c r="Q31" s="4"/>
      <c r="R31" s="4"/>
      <c r="S31" s="4"/>
      <c r="T31" s="4"/>
      <c r="U31" s="4"/>
      <c r="V31" s="9"/>
      <c r="W31" s="9"/>
      <c r="X31" s="4"/>
      <c r="Y31" s="4"/>
      <c r="Z31" s="4"/>
    </row>
    <row r="32" spans="1:26" x14ac:dyDescent="0.2">
      <c r="A32" s="9" t="s">
        <v>22</v>
      </c>
      <c r="B32" s="9"/>
      <c r="C32" s="9"/>
      <c r="D32" s="9"/>
      <c r="E32" s="176"/>
      <c r="F32" s="175"/>
      <c r="G32" s="33"/>
      <c r="H32" s="6"/>
      <c r="I32" s="6">
        <f>IF(G32&gt;0,G32,H32-(L32*B$2*1.05)+M32-N32*12.5+P32)</f>
        <v>0.34059050925925916</v>
      </c>
      <c r="J32" s="6"/>
      <c r="K32" s="6"/>
      <c r="L32" s="11">
        <v>0.47050000000000003</v>
      </c>
      <c r="M32" s="76">
        <f t="shared" ref="M32:M37" si="13">L32*B$3*(1+B$13)</f>
        <v>0.94688125000000001</v>
      </c>
      <c r="N32" s="12">
        <v>8.037037037037037E-2</v>
      </c>
      <c r="O32" s="216">
        <f t="shared" ref="O32" si="14">N32*(1+B$16)</f>
        <v>9.2425925925925911E-2</v>
      </c>
      <c r="P32" s="76">
        <f t="shared" ref="P32" si="15">O32*B$4*(1-B$7)+O32*B$6*(B$7)</f>
        <v>1.3863888888888887</v>
      </c>
      <c r="Q32" s="5">
        <f t="shared" ref="Q32:Q37" si="16">I32-M32-P32</f>
        <v>-1.9926796296296296</v>
      </c>
      <c r="R32" s="5">
        <f>Q32*B$12</f>
        <v>-0.65758427777777784</v>
      </c>
      <c r="S32" s="5">
        <f t="shared" ref="S32:S37" si="17">Q32-R32</f>
        <v>-1.3350953518518518</v>
      </c>
      <c r="T32" s="4"/>
      <c r="U32" s="21">
        <f t="shared" ref="U32:U37" si="18">IF(U$15="Increase",IF(F32="y",0,IF($E32&gt;0,M32*$E32*(1+U$16),0)),IF(F32="y",0,IF($E32&gt;0,M32*$E32*(1-U$16),0)))</f>
        <v>0</v>
      </c>
      <c r="V32" s="21">
        <f t="shared" ref="V32" si="19">IF(V$15="Increase",IF(F32="y",0,IF($E32&gt;0,(O32*B$4*(1-B$7))*$E32*(1+V$16),0)),IF(F32="y",0,IF($E32&gt;0,(O32*B$4*(1-B$7))*$E32*(1-V$16),0)))</f>
        <v>0</v>
      </c>
      <c r="W32" s="21">
        <f t="shared" ref="W32" si="20">IF(W$15="Increase",IF(F32="y",0,IF($E32&gt;0,(O32*B$6*(B$7))*$E32*(1+W$16),0)),IF(F32="y",0,IF($E32&gt;0,(O32*B$6*(B$7))*$E32*(1-W$16),0)))</f>
        <v>0</v>
      </c>
      <c r="X32" s="21">
        <f t="shared" ref="X32:X37" si="21">IF(X$15="Increase",IF(F32="y",0,IF($E32&gt;0,R32*$E32*(1+X$16),0)),IF(F32="y",0,IF($E32&gt;0,R32*$E32*(1-X$16),0)))</f>
        <v>0</v>
      </c>
      <c r="Y32" s="21">
        <f t="shared" ref="Y32:Y37" si="22">IF(Y$15="Increase",IF(F32="y",0,IF($E32&gt;0,S32*$E32*(1+Y$16),0)),IF(F32="y",0,IF($E32&gt;0,S32*$E32*(1-Y$16),0)))</f>
        <v>0</v>
      </c>
      <c r="Z32" s="21">
        <f t="shared" ref="Z32:Z37" si="23">IF(Z$15="Increase",IF(F32="y",I32*E32*(1+Z$16),0),IF(F32="y",I32*E32*(1-Z$16),0))</f>
        <v>0</v>
      </c>
    </row>
    <row r="33" spans="1:26" x14ac:dyDescent="0.2">
      <c r="A33" s="9"/>
      <c r="B33" s="9"/>
      <c r="C33" s="9"/>
      <c r="D33" s="9"/>
      <c r="E33" s="176"/>
      <c r="F33" s="175"/>
      <c r="G33" s="33"/>
      <c r="H33" s="6"/>
      <c r="I33" s="6"/>
      <c r="J33" s="6"/>
      <c r="K33" s="6"/>
      <c r="L33" s="11"/>
      <c r="M33" s="5"/>
      <c r="N33" s="12"/>
      <c r="O33" s="12"/>
      <c r="P33" s="5"/>
      <c r="Q33" s="5"/>
      <c r="R33" s="5"/>
      <c r="S33" s="5"/>
      <c r="T33" s="4"/>
      <c r="U33" s="21"/>
      <c r="V33" s="21"/>
      <c r="W33" s="21"/>
      <c r="X33" s="21"/>
      <c r="Y33" s="21"/>
      <c r="Z33" s="21"/>
    </row>
    <row r="34" spans="1:26" x14ac:dyDescent="0.2">
      <c r="A34" s="9" t="s">
        <v>24</v>
      </c>
      <c r="B34" s="115">
        <v>1</v>
      </c>
      <c r="C34" s="115">
        <v>0</v>
      </c>
      <c r="D34" s="132">
        <f>IF('Machinery(Soybeans)'!C16='Machinery(Soybeans)'!B58,0,'Machinery(Soybeans)'!D22)</f>
        <v>0</v>
      </c>
      <c r="E34" s="174">
        <f>IF('Machinery(Soybeans)'!$C$17='Machinery(Soybeans)'!$B$63,D34,IF('Machinery(Soybeans)'!$C$16='Machinery(Soybeans)'!$B$59,B34,C34))</f>
        <v>0</v>
      </c>
      <c r="F34" s="175" t="str">
        <f>IF('Machinery(Soybeans)'!C17='Machinery(Soybeans)'!B64,'Machinery(Soybeans)'!B49,'Machinery(Soybeans)'!E22)</f>
        <v>N</v>
      </c>
      <c r="G34" s="33"/>
      <c r="H34" s="6">
        <v>19</v>
      </c>
      <c r="I34" s="214">
        <f>H34+J34+K34</f>
        <v>18.868625000000002</v>
      </c>
      <c r="J34" s="214">
        <f>L34*(B$3-B$2)</f>
        <v>-0.13137500000000002</v>
      </c>
      <c r="K34" s="214">
        <f>(B$4*(1-B$7)+B$6*(B$7) - B$14)*O34</f>
        <v>0</v>
      </c>
      <c r="L34" s="11">
        <v>0.52550000000000008</v>
      </c>
      <c r="M34" s="76">
        <f t="shared" si="13"/>
        <v>1.0575687500000002</v>
      </c>
      <c r="N34" s="12">
        <v>9.1481481481481469E-2</v>
      </c>
      <c r="O34" s="216">
        <f t="shared" ref="O34:O37" si="24">N34*(1+B$16)</f>
        <v>0.10520370370370369</v>
      </c>
      <c r="P34" s="76">
        <f t="shared" ref="P34:P37" si="25">O34*B$4*(1-B$7)+O34*B$6*(B$7)</f>
        <v>1.5780555555555553</v>
      </c>
      <c r="Q34" s="5">
        <f t="shared" si="16"/>
        <v>16.233000694444446</v>
      </c>
      <c r="R34" s="5">
        <f t="shared" ref="R34:R37" si="26">Q34*B$12</f>
        <v>5.3568902291666669</v>
      </c>
      <c r="S34" s="5">
        <f t="shared" si="17"/>
        <v>10.87611046527778</v>
      </c>
      <c r="T34" s="4"/>
      <c r="U34" s="21">
        <f t="shared" si="18"/>
        <v>0</v>
      </c>
      <c r="V34" s="21">
        <f t="shared" ref="V34:V37" si="27">IF(V$15="Increase",IF(F34="y",0,IF($E34&gt;0,(O34*B$4*(1-B$7))*$E34*(1+V$16),0)),IF(F34="y",0,IF($E34&gt;0,(O34*B$4*(1-B$7))*$E34*(1-V$16),0)))</f>
        <v>0</v>
      </c>
      <c r="W34" s="21">
        <f t="shared" ref="W34:W37" si="28">IF(W$15="Increase",IF(F34="y",0,IF($E34&gt;0,(O34*B$6*(B$7))*$E34*(1+W$16),0)),IF(F34="y",0,IF($E34&gt;0,(O34*B$6*(B$7))*$E34*(1-W$16),0)))</f>
        <v>0</v>
      </c>
      <c r="X34" s="21">
        <f t="shared" si="21"/>
        <v>0</v>
      </c>
      <c r="Y34" s="21">
        <f t="shared" si="22"/>
        <v>0</v>
      </c>
      <c r="Z34" s="21">
        <f t="shared" si="23"/>
        <v>0</v>
      </c>
    </row>
    <row r="35" spans="1:26" x14ac:dyDescent="0.2">
      <c r="A35" s="9" t="s">
        <v>25</v>
      </c>
      <c r="B35" s="9"/>
      <c r="C35" s="9"/>
      <c r="D35" s="9"/>
      <c r="E35" s="176"/>
      <c r="F35" s="175"/>
      <c r="G35" s="33"/>
      <c r="H35" s="6"/>
      <c r="I35" s="6">
        <f t="shared" ref="I35" si="29">IF(G35&gt;0,G35,H35-(L35*B$2*1.05)+M35-N35*12.5+P35)</f>
        <v>0.38855578703703686</v>
      </c>
      <c r="J35" s="6"/>
      <c r="K35" s="6"/>
      <c r="L35" s="11">
        <v>0.52550000000000008</v>
      </c>
      <c r="M35" s="76">
        <f t="shared" si="13"/>
        <v>1.0575687500000002</v>
      </c>
      <c r="N35" s="12">
        <v>9.1481481481481469E-2</v>
      </c>
      <c r="O35" s="216">
        <f t="shared" si="24"/>
        <v>0.10520370370370369</v>
      </c>
      <c r="P35" s="76">
        <f t="shared" si="25"/>
        <v>1.5780555555555553</v>
      </c>
      <c r="Q35" s="5">
        <f t="shared" si="16"/>
        <v>-2.2470685185185184</v>
      </c>
      <c r="R35" s="5">
        <f t="shared" si="26"/>
        <v>-0.74153261111111113</v>
      </c>
      <c r="S35" s="5">
        <f t="shared" si="17"/>
        <v>-1.5055359074074073</v>
      </c>
      <c r="T35" s="4"/>
      <c r="U35" s="21">
        <f t="shared" si="18"/>
        <v>0</v>
      </c>
      <c r="V35" s="21">
        <f t="shared" si="27"/>
        <v>0</v>
      </c>
      <c r="W35" s="21">
        <f t="shared" si="28"/>
        <v>0</v>
      </c>
      <c r="X35" s="21">
        <f t="shared" si="21"/>
        <v>0</v>
      </c>
      <c r="Y35" s="21">
        <f t="shared" si="22"/>
        <v>0</v>
      </c>
      <c r="Z35" s="21">
        <f t="shared" si="23"/>
        <v>0</v>
      </c>
    </row>
    <row r="36" spans="1:26" x14ac:dyDescent="0.2">
      <c r="A36" s="65" t="s">
        <v>373</v>
      </c>
      <c r="B36" s="115">
        <v>0.5</v>
      </c>
      <c r="C36" s="115">
        <v>0</v>
      </c>
      <c r="D36" s="132" t="b">
        <f>IF('Machinery(Soybeans)'!C16='Machinery(Soybeans)'!B59,IF('Machinery(Soybeans)'!B31='Machinery(Soybeans)'!D50,'Machinery(Soybeans)'!D31,0))</f>
        <v>0</v>
      </c>
      <c r="E36" s="174" t="b">
        <f>IF('Machinery(Soybeans)'!C17='Machinery(Soybeans)'!B63,D36,IF('Machinery(Soybeans)'!C16='Machinery(Soybeans)'!B59,IF('Machinery(Soybeans)'!B31='Machinery(Soybeans)'!D50,B36,C36)))</f>
        <v>0</v>
      </c>
      <c r="F36" s="175" t="str">
        <f>IF('Machinery(Soybeans)'!C17='Machinery(Soybeans)'!B64,'Machinery(Soybeans)'!B49,IF('Machinery(Soybeans)'!C16='Machinery(Soybeans)'!B59,IF('Machinery(Soybeans)'!B31='Machinery(Soybeans)'!D50,'Machinery(Soybeans)'!E31,'Machinery(Soybeans)'!B49)))</f>
        <v>N</v>
      </c>
      <c r="G36" s="33"/>
      <c r="H36" s="6">
        <v>12.5</v>
      </c>
      <c r="I36" s="214">
        <f>H36+J36+K36</f>
        <v>12.366</v>
      </c>
      <c r="J36" s="214">
        <f>L36*(B$3-B$2)</f>
        <v>-0.13400000000000001</v>
      </c>
      <c r="K36" s="214">
        <f>(B$4*(1-B$7)+B$6*(B$7) - B$14)*O36</f>
        <v>0</v>
      </c>
      <c r="L36" s="11">
        <v>0.53600000000000003</v>
      </c>
      <c r="M36" s="76">
        <f t="shared" si="13"/>
        <v>1.0787</v>
      </c>
      <c r="N36" s="12">
        <v>9.9000000000000005E-2</v>
      </c>
      <c r="O36" s="216">
        <f t="shared" si="24"/>
        <v>0.11384999999999999</v>
      </c>
      <c r="P36" s="76">
        <f t="shared" si="25"/>
        <v>1.7077499999999999</v>
      </c>
      <c r="Q36" s="5">
        <f t="shared" si="16"/>
        <v>9.5795500000000011</v>
      </c>
      <c r="R36" s="5">
        <f t="shared" si="26"/>
        <v>3.1612515000000005</v>
      </c>
      <c r="S36" s="5">
        <f t="shared" si="17"/>
        <v>6.4182985000000006</v>
      </c>
      <c r="T36" s="4"/>
      <c r="U36" s="21">
        <f t="shared" si="18"/>
        <v>0</v>
      </c>
      <c r="V36" s="21">
        <f t="shared" si="27"/>
        <v>0</v>
      </c>
      <c r="W36" s="21">
        <f t="shared" si="28"/>
        <v>0</v>
      </c>
      <c r="X36" s="21">
        <f t="shared" si="21"/>
        <v>0</v>
      </c>
      <c r="Y36" s="21">
        <f t="shared" si="22"/>
        <v>0</v>
      </c>
      <c r="Z36" s="21">
        <f t="shared" si="23"/>
        <v>0</v>
      </c>
    </row>
    <row r="37" spans="1:26" x14ac:dyDescent="0.2">
      <c r="A37" s="9" t="s">
        <v>26</v>
      </c>
      <c r="B37" s="115">
        <v>0.5</v>
      </c>
      <c r="C37" s="115">
        <v>0</v>
      </c>
      <c r="D37" s="132" t="b">
        <f>IF('Machinery(Soybeans)'!C16='Machinery(Soybeans)'!B59,IF('Machinery(Soybeans)'!B31='Machinery(Soybeans)'!D49,'Machinery(Soybeans)'!D31,0))</f>
        <v>0</v>
      </c>
      <c r="E37" s="174" t="b">
        <f>IF('Machinery(Soybeans)'!C17='Machinery(Soybeans)'!B63,D37,IF('Machinery(Soybeans)'!C16='Machinery(Soybeans)'!B59,IF('Machinery(Soybeans)'!B31='Machinery(Soybeans)'!D49,B37,C37)))</f>
        <v>0</v>
      </c>
      <c r="F37" s="175" t="str">
        <f>IF('Machinery(Soybeans)'!C17='Machinery(Soybeans)'!B64,'Machinery(Soybeans)'!B49,IF('Machinery(Soybeans)'!C16='Machinery(Soybeans)'!B59,IF('Machinery(Soybeans)'!B31='Machinery(Soybeans)'!D49,'Machinery(Soybeans)'!E31,'Machinery(Soybeans)'!B49)))</f>
        <v>N</v>
      </c>
      <c r="G37" s="33"/>
      <c r="H37" s="6">
        <v>18</v>
      </c>
      <c r="I37" s="214">
        <f>H37+J37+K37</f>
        <v>17.81175</v>
      </c>
      <c r="J37" s="214">
        <f>L37*(B$3-B$2)</f>
        <v>-0.18825</v>
      </c>
      <c r="K37" s="214">
        <f>(B$4*(1-B$7)+B$6*(B$7) - B$14)*O37</f>
        <v>0</v>
      </c>
      <c r="L37" s="11">
        <v>0.753</v>
      </c>
      <c r="M37" s="76">
        <f t="shared" si="13"/>
        <v>1.5154124999999998</v>
      </c>
      <c r="N37" s="12">
        <v>0.13851851851851851</v>
      </c>
      <c r="O37" s="216">
        <f t="shared" si="24"/>
        <v>0.15929629629629627</v>
      </c>
      <c r="P37" s="76">
        <f t="shared" si="25"/>
        <v>2.389444444444444</v>
      </c>
      <c r="Q37" s="5">
        <f t="shared" si="16"/>
        <v>13.906893055555557</v>
      </c>
      <c r="R37" s="5">
        <f t="shared" si="26"/>
        <v>4.5892747083333338</v>
      </c>
      <c r="S37" s="5">
        <f t="shared" si="17"/>
        <v>9.317618347222222</v>
      </c>
      <c r="T37" s="4"/>
      <c r="U37" s="21">
        <f t="shared" si="18"/>
        <v>0</v>
      </c>
      <c r="V37" s="21">
        <f t="shared" si="27"/>
        <v>0</v>
      </c>
      <c r="W37" s="21">
        <f t="shared" si="28"/>
        <v>0</v>
      </c>
      <c r="X37" s="21">
        <f t="shared" si="21"/>
        <v>0</v>
      </c>
      <c r="Y37" s="21">
        <f t="shared" si="22"/>
        <v>0</v>
      </c>
      <c r="Z37" s="21">
        <f t="shared" si="23"/>
        <v>0</v>
      </c>
    </row>
    <row r="38" spans="1:26" x14ac:dyDescent="0.2">
      <c r="A38" s="9"/>
      <c r="B38" s="9"/>
      <c r="C38" s="9"/>
      <c r="D38" s="9"/>
      <c r="E38" s="176"/>
      <c r="F38" s="175"/>
      <c r="G38" s="33"/>
      <c r="H38" s="6"/>
      <c r="I38" s="6"/>
      <c r="J38" s="6"/>
      <c r="K38" s="6"/>
      <c r="L38" s="9"/>
      <c r="M38" s="4"/>
      <c r="N38" s="9"/>
      <c r="O38" s="9"/>
      <c r="P38" s="4"/>
      <c r="Q38" s="4"/>
      <c r="R38" s="4"/>
      <c r="S38" s="4"/>
      <c r="T38" s="4"/>
      <c r="U38" s="4"/>
      <c r="V38" s="9"/>
      <c r="W38" s="9"/>
      <c r="X38" s="4"/>
      <c r="Y38" s="4"/>
      <c r="Z38" s="4"/>
    </row>
    <row r="39" spans="1:26" x14ac:dyDescent="0.2">
      <c r="A39" s="10" t="s">
        <v>27</v>
      </c>
      <c r="B39" s="10"/>
      <c r="C39" s="10"/>
      <c r="D39" s="10"/>
      <c r="E39" s="176"/>
      <c r="F39" s="175"/>
      <c r="G39" s="33"/>
      <c r="H39" s="6"/>
      <c r="I39" s="6"/>
      <c r="J39" s="6"/>
      <c r="K39" s="6"/>
      <c r="L39" s="9"/>
      <c r="M39" s="4"/>
      <c r="N39" s="9"/>
      <c r="O39" s="9"/>
      <c r="P39" s="4"/>
      <c r="Q39" s="4"/>
      <c r="R39" s="4"/>
      <c r="S39" s="4"/>
      <c r="T39" s="4"/>
      <c r="U39" s="4"/>
      <c r="V39" s="9"/>
      <c r="W39" s="9"/>
      <c r="X39" s="4"/>
      <c r="Y39" s="4"/>
      <c r="Z39" s="4"/>
    </row>
    <row r="40" spans="1:26" x14ac:dyDescent="0.2">
      <c r="A40" s="9" t="s">
        <v>28</v>
      </c>
      <c r="B40" s="9"/>
      <c r="C40" s="9"/>
      <c r="D40" s="9"/>
      <c r="E40" s="176"/>
      <c r="F40" s="175"/>
      <c r="G40" s="33"/>
      <c r="H40" s="6"/>
      <c r="I40" s="6">
        <f t="shared" ref="I40:I42" si="30">IF(G40&gt;0,G40,H40-(L40*B$2*1.05)+M40-N40*12.5+P40)</f>
        <v>0.41768668981481438</v>
      </c>
      <c r="J40" s="6"/>
      <c r="K40" s="6"/>
      <c r="L40" s="11">
        <v>0.79574999999999996</v>
      </c>
      <c r="M40" s="76">
        <f t="shared" ref="M40:M44" si="31">L40*B$3*(1+B$13)</f>
        <v>1.6014468749999997</v>
      </c>
      <c r="N40" s="12">
        <v>0.1025925925925926</v>
      </c>
      <c r="O40" s="216">
        <f t="shared" ref="O40:O44" si="32">N40*(1+B$16)</f>
        <v>0.11798148148148148</v>
      </c>
      <c r="P40" s="76">
        <f t="shared" ref="P40:P44" si="33">O40*B$4*(1-B$7)+O40*B$6*(B$7)</f>
        <v>1.7697222222222222</v>
      </c>
      <c r="Q40" s="5">
        <f t="shared" ref="Q40:Q44" si="34">I40-M40-P40</f>
        <v>-2.9534824074074075</v>
      </c>
      <c r="R40" s="5">
        <f t="shared" ref="R40:R44" si="35">Q40*B$12</f>
        <v>-0.97464919444444453</v>
      </c>
      <c r="S40" s="5">
        <f t="shared" ref="S40:S44" si="36">Q40-R40</f>
        <v>-1.9788332129629631</v>
      </c>
      <c r="T40" s="4"/>
      <c r="U40" s="21">
        <f t="shared" ref="U40:U44" si="37">IF(U$15="Increase",IF(F40="y",0,IF($E40&gt;0,M40*$E40*(1+U$16),0)),IF(F40="y",0,IF($E40&gt;0,M40*$E40*(1-U$16),0)))</f>
        <v>0</v>
      </c>
      <c r="V40" s="21">
        <f t="shared" ref="V40" si="38">IF(V$15="Increase",IF(F40="y",0,IF($E40&gt;0,(O40*B$4*(1-B$7))*$E40*(1+V$16),0)),IF(F40="y",0,IF($E40&gt;0,(O40*B$4*(1-B$7))*$E40*(1-V$16),0)))</f>
        <v>0</v>
      </c>
      <c r="W40" s="21">
        <f t="shared" ref="W40" si="39">IF(W$15="Increase",IF(F40="y",0,IF($E40&gt;0,(O40*B$6*(B$7))*$E40*(1+W$16),0)),IF(F40="y",0,IF($E40&gt;0,(O40*B$6*(B$7))*$E40*(1-W$16),0)))</f>
        <v>0</v>
      </c>
      <c r="X40" s="21">
        <f t="shared" ref="X40:X44" si="40">IF(X$15="Increase",IF(F40="y",0,IF($E40&gt;0,R40*$E40*(1+X$16),0)),IF(F40="y",0,IF($E40&gt;0,R40*$E40*(1-X$16),0)))</f>
        <v>0</v>
      </c>
      <c r="Y40" s="21">
        <f t="shared" ref="Y40:Y44" si="41">IF(Y$15="Increase",IF(F40="y",0,IF($E40&gt;0,S40*$E40*(1+Y$16),0)),IF(F40="y",0,IF($E40&gt;0,S40*$E40*(1-Y$16),0)))</f>
        <v>0</v>
      </c>
      <c r="Z40" s="21">
        <f t="shared" ref="Z40:Z44" si="42">IF(Z$15="Increase",IF(F40="y",I40*E40*(1+Z$16),0),IF(F40="y",I40*E40*(1-Z$16),0))</f>
        <v>0</v>
      </c>
    </row>
    <row r="41" spans="1:26" x14ac:dyDescent="0.2">
      <c r="A41" s="9" t="s">
        <v>24</v>
      </c>
      <c r="B41" s="115">
        <v>0</v>
      </c>
      <c r="C41" s="115">
        <v>1</v>
      </c>
      <c r="D41" s="132">
        <f>IF('Machinery(Soybeans)'!C16='Machinery(Soybeans)'!B59,0,'Machinery(Soybeans)'!D22)</f>
        <v>1</v>
      </c>
      <c r="E41" s="174">
        <f>IF('Machinery(Soybeans)'!$C$17='Machinery(Soybeans)'!$B$63,D41,IF('Machinery(Soybeans)'!$C$16='Machinery(Soybeans)'!$B$59,B41,C41))</f>
        <v>1</v>
      </c>
      <c r="F41" s="175" t="str">
        <f>IF('Machinery(Soybeans)'!C17='Machinery(Soybeans)'!B64,'Machinery(Soybeans)'!B49,'Machinery(Soybeans)'!E22)</f>
        <v>N</v>
      </c>
      <c r="G41" s="33"/>
      <c r="H41" s="6">
        <v>19.5</v>
      </c>
      <c r="I41" s="214">
        <f>H41+J41+K41</f>
        <v>19.3010625</v>
      </c>
      <c r="J41" s="214">
        <f>L41*(B$3-B$2)</f>
        <v>-0.19893749999999999</v>
      </c>
      <c r="K41" s="214">
        <f>(B$4*(1-B$7)+B$6*(B$7) - B$14)*O41</f>
        <v>0</v>
      </c>
      <c r="L41" s="11">
        <v>0.79574999999999996</v>
      </c>
      <c r="M41" s="76">
        <f t="shared" si="31"/>
        <v>1.6014468749999997</v>
      </c>
      <c r="N41" s="12">
        <v>0.1025925925925926</v>
      </c>
      <c r="O41" s="216">
        <f t="shared" si="32"/>
        <v>0.11798148148148148</v>
      </c>
      <c r="P41" s="76">
        <f t="shared" si="33"/>
        <v>1.7697222222222222</v>
      </c>
      <c r="Q41" s="5">
        <f t="shared" si="34"/>
        <v>15.929893402777777</v>
      </c>
      <c r="R41" s="5">
        <f t="shared" si="35"/>
        <v>5.2568648229166666</v>
      </c>
      <c r="S41" s="5">
        <f t="shared" si="36"/>
        <v>10.673028579861111</v>
      </c>
      <c r="T41" s="4"/>
      <c r="U41" s="21">
        <f t="shared" si="37"/>
        <v>1.6014468749999997</v>
      </c>
      <c r="V41" s="21">
        <f t="shared" ref="V41" si="43">IF(V$15="Increase",IF(F41="y",0,IF($E41&gt;0,(O41*B$4*(1-B$7))*$E41*(1+V$16),0)),IF(F41="y",0,IF($E41&gt;0,(O41*B$4*(1-B$7))*$E41*(1-V$16),0)))</f>
        <v>1.7697222222222222</v>
      </c>
      <c r="W41" s="21">
        <f t="shared" ref="W41" si="44">IF(W$15="Increase",IF(F41="y",0,IF($E41&gt;0,(O41*B$6*(B$7))*$E41*(1+W$16),0)),IF(F41="y",0,IF($E41&gt;0,(O41*B$6*(B$7))*$E41*(1-W$16),0)))</f>
        <v>0</v>
      </c>
      <c r="X41" s="21">
        <f t="shared" si="40"/>
        <v>5.2568648229166666</v>
      </c>
      <c r="Y41" s="21">
        <f t="shared" si="41"/>
        <v>10.673028579861111</v>
      </c>
      <c r="Z41" s="21">
        <f t="shared" si="42"/>
        <v>0</v>
      </c>
    </row>
    <row r="42" spans="1:26" x14ac:dyDescent="0.2">
      <c r="A42" s="9" t="s">
        <v>25</v>
      </c>
      <c r="B42" s="9"/>
      <c r="C42" s="9"/>
      <c r="D42" s="9"/>
      <c r="E42" s="176"/>
      <c r="F42" s="175"/>
      <c r="G42" s="33"/>
      <c r="H42" s="6"/>
      <c r="I42" s="6">
        <f t="shared" si="30"/>
        <v>0.41768668981481438</v>
      </c>
      <c r="J42" s="6"/>
      <c r="K42" s="6"/>
      <c r="L42" s="11">
        <v>0.79574999999999996</v>
      </c>
      <c r="M42" s="76">
        <f t="shared" si="31"/>
        <v>1.6014468749999997</v>
      </c>
      <c r="N42" s="12">
        <v>0.1025925925925926</v>
      </c>
      <c r="O42" s="216">
        <f t="shared" si="32"/>
        <v>0.11798148148148148</v>
      </c>
      <c r="P42" s="76">
        <f t="shared" si="33"/>
        <v>1.7697222222222222</v>
      </c>
      <c r="Q42" s="5">
        <f t="shared" si="34"/>
        <v>-2.9534824074074075</v>
      </c>
      <c r="R42" s="5">
        <f t="shared" si="35"/>
        <v>-0.97464919444444453</v>
      </c>
      <c r="S42" s="5">
        <f t="shared" si="36"/>
        <v>-1.9788332129629631</v>
      </c>
      <c r="T42" s="4"/>
      <c r="U42" s="21">
        <f t="shared" si="37"/>
        <v>0</v>
      </c>
      <c r="V42" s="21">
        <f t="shared" ref="V42:V44" si="45">IF(V$15="Increase",IF(F42="y",0,IF($E42&gt;0,(O42*B$4*(1-B$7))*$E42*(1+V$16),0)),IF(F42="y",0,IF($E42&gt;0,(O42*B$4*(1-B$7))*$E42*(1-V$16),0)))</f>
        <v>0</v>
      </c>
      <c r="W42" s="21">
        <f t="shared" ref="W42:W44" si="46">IF(W$15="Increase",IF(F42="y",0,IF($E42&gt;0,(O42*B$6*(B$7))*$E42*(1+W$16),0)),IF(F42="y",0,IF($E42&gt;0,(O42*B$6*(B$7))*$E42*(1-W$16),0)))</f>
        <v>0</v>
      </c>
      <c r="X42" s="21">
        <f t="shared" si="40"/>
        <v>0</v>
      </c>
      <c r="Y42" s="21">
        <f t="shared" si="41"/>
        <v>0</v>
      </c>
      <c r="Z42" s="21">
        <f t="shared" si="42"/>
        <v>0</v>
      </c>
    </row>
    <row r="43" spans="1:26" x14ac:dyDescent="0.2">
      <c r="A43" s="65" t="s">
        <v>373</v>
      </c>
      <c r="B43" s="115">
        <v>0</v>
      </c>
      <c r="C43" s="115">
        <v>0.5</v>
      </c>
      <c r="D43" s="132">
        <f>IF('Machinery(Soybeans)'!C16='Machinery(Soybeans)'!B58,IF('Machinery(Soybeans)'!B31='Machinery(Soybeans)'!D50,'Machinery(Soybeans)'!D31,0))</f>
        <v>0</v>
      </c>
      <c r="E43" s="174">
        <f>IF('Machinery(Soybeans)'!C17='Machinery(Soybeans)'!B63,D43,IF('Machinery(Soybeans)'!C16='Machinery(Soybeans)'!B58,IF('Machinery(Soybeans)'!B31='Machinery(Soybeans)'!D50,C43,B43)))</f>
        <v>0</v>
      </c>
      <c r="F43" s="175" t="str">
        <f>IF('Machinery(Soybeans)'!C17='Machinery(Soybeans)'!B64,'Machinery(Soybeans)'!B49,IF('Machinery(Soybeans)'!C16='Machinery(Soybeans)'!B58,IF('Machinery(Soybeans)'!B31='Machinery(Soybeans)'!D50,'Machinery(Soybeans)'!E31,'Machinery(Soybeans)'!B49)))</f>
        <v>N</v>
      </c>
      <c r="G43" s="33"/>
      <c r="H43" s="6">
        <v>12.5</v>
      </c>
      <c r="I43" s="214">
        <f>H43+J43+K43</f>
        <v>12.366</v>
      </c>
      <c r="J43" s="214">
        <f>L43*(B$3-B$2)</f>
        <v>-0.13400000000000001</v>
      </c>
      <c r="K43" s="214">
        <f>(B$4*(1-B$7)+B$6*(B$7) - B$14)*O43</f>
        <v>0</v>
      </c>
      <c r="L43" s="11">
        <v>0.53600000000000003</v>
      </c>
      <c r="M43" s="76">
        <f t="shared" si="31"/>
        <v>1.0787</v>
      </c>
      <c r="N43" s="12">
        <v>9.9000000000000005E-2</v>
      </c>
      <c r="O43" s="216">
        <f t="shared" si="32"/>
        <v>0.11384999999999999</v>
      </c>
      <c r="P43" s="76">
        <f t="shared" si="33"/>
        <v>1.7077499999999999</v>
      </c>
      <c r="Q43" s="5">
        <f t="shared" si="34"/>
        <v>9.5795500000000011</v>
      </c>
      <c r="R43" s="5">
        <f t="shared" si="35"/>
        <v>3.1612515000000005</v>
      </c>
      <c r="S43" s="5">
        <f t="shared" si="36"/>
        <v>6.4182985000000006</v>
      </c>
      <c r="T43" s="4"/>
      <c r="U43" s="21">
        <f t="shared" si="37"/>
        <v>0</v>
      </c>
      <c r="V43" s="21">
        <f t="shared" si="45"/>
        <v>0</v>
      </c>
      <c r="W43" s="21">
        <f t="shared" si="46"/>
        <v>0</v>
      </c>
      <c r="X43" s="21">
        <f t="shared" si="40"/>
        <v>0</v>
      </c>
      <c r="Y43" s="21">
        <f t="shared" si="41"/>
        <v>0</v>
      </c>
      <c r="Z43" s="21">
        <f t="shared" si="42"/>
        <v>0</v>
      </c>
    </row>
    <row r="44" spans="1:26" x14ac:dyDescent="0.2">
      <c r="A44" s="9" t="s">
        <v>26</v>
      </c>
      <c r="B44" s="115">
        <v>0</v>
      </c>
      <c r="C44" s="115">
        <v>0.5</v>
      </c>
      <c r="D44" s="132">
        <f>IF('Machinery(Soybeans)'!C16='Machinery(Soybeans)'!B58,IF('Machinery(Soybeans)'!B31='Machinery(Soybeans)'!D49,'Machinery(Soybeans)'!D31,0))</f>
        <v>0</v>
      </c>
      <c r="E44" s="174">
        <f>IF('Machinery(Soybeans)'!C17='Machinery(Soybeans)'!B63,D44,IF('Machinery(Soybeans)'!C16='Machinery(Soybeans)'!B58,IF('Machinery(Soybeans)'!B31='Machinery(Soybeans)'!D49,C44,B44)))</f>
        <v>0</v>
      </c>
      <c r="F44" s="175" t="str">
        <f>IF('Machinery(Soybeans)'!C17='Machinery(Soybeans)'!B64,'Machinery(Soybeans)'!B49,IF('Machinery(Soybeans)'!C16='Machinery(Soybeans)'!B58,IF('Machinery(Soybeans)'!B31='Machinery(Soybeans)'!D49,'Machinery(Soybeans)'!E31,'Machinery(Soybeans)'!B49)))</f>
        <v>N</v>
      </c>
      <c r="G44" s="33"/>
      <c r="H44" s="6">
        <v>19</v>
      </c>
      <c r="I44" s="214">
        <f>H44+J44+K44</f>
        <v>18.787312499999999</v>
      </c>
      <c r="J44" s="214">
        <f>L44*(B$3-B$2)</f>
        <v>-0.2126875</v>
      </c>
      <c r="K44" s="214">
        <f>(B$4*(1-B$7)+B$6*(B$7) - B$14)*O44</f>
        <v>0</v>
      </c>
      <c r="L44" s="11">
        <v>0.85075000000000001</v>
      </c>
      <c r="M44" s="76">
        <f t="shared" si="31"/>
        <v>1.712134375</v>
      </c>
      <c r="N44" s="12">
        <v>0.12481481481481482</v>
      </c>
      <c r="O44" s="216">
        <f t="shared" si="32"/>
        <v>0.14353703703703705</v>
      </c>
      <c r="P44" s="76">
        <f t="shared" si="33"/>
        <v>2.1530555555555555</v>
      </c>
      <c r="Q44" s="5">
        <f t="shared" si="34"/>
        <v>14.922122569444442</v>
      </c>
      <c r="R44" s="5">
        <f t="shared" si="35"/>
        <v>4.9243004479166661</v>
      </c>
      <c r="S44" s="5">
        <f t="shared" si="36"/>
        <v>9.9978221215277756</v>
      </c>
      <c r="T44" s="4"/>
      <c r="U44" s="21">
        <f t="shared" si="37"/>
        <v>0</v>
      </c>
      <c r="V44" s="21">
        <f t="shared" si="45"/>
        <v>0</v>
      </c>
      <c r="W44" s="21">
        <f t="shared" si="46"/>
        <v>0</v>
      </c>
      <c r="X44" s="21">
        <f t="shared" si="40"/>
        <v>0</v>
      </c>
      <c r="Y44" s="21">
        <f t="shared" si="41"/>
        <v>0</v>
      </c>
      <c r="Z44" s="21">
        <f t="shared" si="42"/>
        <v>0</v>
      </c>
    </row>
    <row r="45" spans="1:26" x14ac:dyDescent="0.2">
      <c r="A45" s="9"/>
      <c r="B45" s="9"/>
      <c r="C45" s="9"/>
      <c r="D45" s="9"/>
      <c r="E45" s="29"/>
      <c r="F45" s="30"/>
      <c r="G45" s="33"/>
      <c r="H45" s="6"/>
      <c r="I45" s="6"/>
      <c r="J45" s="6"/>
      <c r="K45" s="6"/>
      <c r="L45" s="9"/>
      <c r="M45" s="4"/>
      <c r="N45" s="9"/>
      <c r="O45" s="9"/>
      <c r="P45" s="4"/>
      <c r="Q45" s="4"/>
      <c r="R45" s="4"/>
      <c r="S45" s="4"/>
      <c r="T45" s="4"/>
      <c r="U45" s="4"/>
      <c r="V45" s="9"/>
      <c r="W45" s="9"/>
      <c r="X45" s="4"/>
      <c r="Y45" s="4"/>
      <c r="Z45" s="4"/>
    </row>
    <row r="46" spans="1:26" x14ac:dyDescent="0.2">
      <c r="A46" s="10" t="s">
        <v>29</v>
      </c>
      <c r="B46" s="10"/>
      <c r="C46" s="10"/>
      <c r="D46" s="10"/>
      <c r="E46" s="29"/>
      <c r="F46" s="30"/>
      <c r="G46" s="33"/>
      <c r="H46" s="6"/>
      <c r="I46" s="6"/>
      <c r="J46" s="6"/>
      <c r="K46" s="6"/>
      <c r="L46" s="9"/>
      <c r="M46" s="4"/>
      <c r="N46" s="9"/>
      <c r="O46" s="9"/>
      <c r="P46" s="4"/>
      <c r="Q46" s="4"/>
      <c r="R46" s="4"/>
      <c r="S46" s="4"/>
      <c r="T46" s="4"/>
      <c r="U46" s="4"/>
      <c r="V46" s="9"/>
      <c r="W46" s="9"/>
      <c r="X46" s="4"/>
      <c r="Y46" s="4"/>
      <c r="Z46" s="4"/>
    </row>
    <row r="47" spans="1:26" x14ac:dyDescent="0.2">
      <c r="A47" s="9" t="s">
        <v>30</v>
      </c>
      <c r="B47" s="9"/>
      <c r="C47" s="9"/>
      <c r="D47" s="9"/>
      <c r="E47" s="29"/>
      <c r="F47" s="30"/>
      <c r="G47" s="33"/>
      <c r="H47" s="6"/>
      <c r="I47" s="6">
        <f>IF(G47&gt;0,G47,H47-(L47*B$2*1.05)+M47-N47*12.5+P47)</f>
        <v>0.7038876157407401</v>
      </c>
      <c r="J47" s="6"/>
      <c r="K47" s="6"/>
      <c r="L47" s="11">
        <v>2.2497499999999997</v>
      </c>
      <c r="M47" s="76">
        <f t="shared" ref="M47" si="47">L47*B$3*(1+B$13)</f>
        <v>4.5276218749999995</v>
      </c>
      <c r="N47" s="12">
        <v>0.18962962962962962</v>
      </c>
      <c r="O47" s="216">
        <f t="shared" ref="O47" si="48">N47*(1+B$16)</f>
        <v>0.21807407407407406</v>
      </c>
      <c r="P47" s="76">
        <f t="shared" ref="P47" si="49">O47*B$4*(1-B$7)+O47*B$6*(B$7)</f>
        <v>3.2711111111111109</v>
      </c>
      <c r="Q47" s="5">
        <f t="shared" ref="Q47:Q51" si="50">I47-M47-P47</f>
        <v>-7.0948453703703702</v>
      </c>
      <c r="R47" s="5">
        <f>Q47*B$12</f>
        <v>-2.3412989722222224</v>
      </c>
      <c r="S47" s="5">
        <f t="shared" ref="S47:S51" si="51">Q47-R47</f>
        <v>-4.7535463981481474</v>
      </c>
      <c r="T47" s="4"/>
      <c r="U47" s="21">
        <f t="shared" ref="U47:U50" si="52">IF(U$15="Increase",IF(F47="y",0,IF($E47&gt;0,M47*$E47*(1+U$16),0)),IF(F47="y",0,IF($E47&gt;0,M47*$E47*(1-U$16),0)))</f>
        <v>0</v>
      </c>
      <c r="V47" s="21">
        <f t="shared" ref="V47" si="53">IF(V$15="Increase",IF(F47="y",0,IF($E47&gt;0,(O47*B$4*(1-B$7))*$E47*(1+V$16),0)),IF(F47="y",0,IF($E47&gt;0,(O47*B$4*(1-B$7))*$E47*(1-V$16),0)))</f>
        <v>0</v>
      </c>
      <c r="W47" s="21">
        <f t="shared" ref="W47" si="54">IF(W$15="Increase",IF(F47="y",0,IF($E47&gt;0,(O47*B$6*(B$7))*$E47*(1+W$16),0)),IF(F47="y",0,IF($E47&gt;0,(O47*B$6*(B$7))*$E47*(1-W$16),0)))</f>
        <v>0</v>
      </c>
      <c r="X47" s="21">
        <f t="shared" ref="X47:X50" si="55">IF(X$15="Increase",IF(F47="y",0,IF($E47&gt;0,R47*$E47*(1+X$16),0)),IF(F47="y",0,IF($E47&gt;0,R47*$E47*(1-X$16),0)))</f>
        <v>0</v>
      </c>
      <c r="Y47" s="21">
        <f t="shared" ref="Y47:Y50" si="56">IF(Y$15="Increase",IF(F47="y",0,IF($E47&gt;0,S47*$E47*(1+Y$16),0)),IF(F47="y",0,IF($E47&gt;0,S47*$E47*(1-Y$16),0)))</f>
        <v>0</v>
      </c>
      <c r="Z47" s="21">
        <f t="shared" ref="Z47:Z50" si="57">IF(Z$15="Increase",IF(F47="y",I47*E47*(1+Z$16),0),IF(F47="y",I47*E47*(1-Z$16),0))</f>
        <v>0</v>
      </c>
    </row>
    <row r="48" spans="1:26" x14ac:dyDescent="0.2">
      <c r="A48" s="9" t="s">
        <v>31</v>
      </c>
      <c r="B48" s="115">
        <v>1</v>
      </c>
      <c r="C48" s="115">
        <v>1</v>
      </c>
      <c r="D48" s="132">
        <f>'Machinery(Soybeans)'!D25</f>
        <v>1</v>
      </c>
      <c r="E48" s="78">
        <f>IF('Machinery(Soybeans)'!$C$17='Machinery(Soybeans)'!$B$63,D48,IF('Machinery(Soybeans)'!$C$16='Machinery(Soybeans)'!$B$59,B48,C48))</f>
        <v>1</v>
      </c>
      <c r="F48" s="30" t="str">
        <f>IF('Machinery(Soybeans)'!C17='Machinery(Soybeans)'!B64,'Machinery(Soybeans)'!B49,'Machinery(Soybeans)'!E25)</f>
        <v>N</v>
      </c>
      <c r="G48" s="33"/>
      <c r="H48" s="6">
        <v>31.5</v>
      </c>
      <c r="I48" s="214">
        <f>H48+J48+K48</f>
        <v>31.029624999999999</v>
      </c>
      <c r="J48" s="214">
        <f>L48*(B$3-B$2)</f>
        <v>-0.47037499999999999</v>
      </c>
      <c r="K48" s="214">
        <f>(B$4*(1-B$7)+B$6*(B$7) - B$14)*O48</f>
        <v>0</v>
      </c>
      <c r="L48" s="11">
        <v>1.8815</v>
      </c>
      <c r="M48" s="76">
        <f t="shared" ref="M48:M50" si="58">L48*B$3*(1+B$13)</f>
        <v>3.7865187499999999</v>
      </c>
      <c r="N48" s="12">
        <v>0.15666666666666668</v>
      </c>
      <c r="O48" s="216">
        <f t="shared" ref="O48:O50" si="59">N48*(1+B$16)</f>
        <v>0.18016666666666667</v>
      </c>
      <c r="P48" s="76">
        <f t="shared" ref="P48:P50" si="60">O48*B$4*(1-B$7)+O48*B$6*(B$7)</f>
        <v>2.7025000000000001</v>
      </c>
      <c r="Q48" s="5">
        <f t="shared" si="50"/>
        <v>24.54060625</v>
      </c>
      <c r="R48" s="5">
        <f>Q48*B$12</f>
        <v>8.0984000624999997</v>
      </c>
      <c r="S48" s="5">
        <f t="shared" si="51"/>
        <v>16.442206187499998</v>
      </c>
      <c r="T48" s="4"/>
      <c r="U48" s="21">
        <f t="shared" si="52"/>
        <v>3.7865187499999999</v>
      </c>
      <c r="V48" s="21">
        <f t="shared" ref="V48:V50" si="61">IF(V$15="Increase",IF(F48="y",0,IF($E48&gt;0,(O48*B$4*(1-B$7))*$E48*(1+V$16),0)),IF(F48="y",0,IF($E48&gt;0,(O48*B$4*(1-B$7))*$E48*(1-V$16),0)))</f>
        <v>2.7025000000000001</v>
      </c>
      <c r="W48" s="21">
        <f t="shared" ref="W48:W50" si="62">IF(W$15="Increase",IF(F48="y",0,IF($E48&gt;0,(O48*B$6*(B$7))*$E48*(1+W$16),0)),IF(F48="y",0,IF($E48&gt;0,(O48*B$6*(B$7))*$E48*(1-W$16),0)))</f>
        <v>0</v>
      </c>
      <c r="X48" s="21">
        <f t="shared" si="55"/>
        <v>8.0984000624999997</v>
      </c>
      <c r="Y48" s="21">
        <f t="shared" si="56"/>
        <v>16.442206187499998</v>
      </c>
      <c r="Z48" s="21">
        <f t="shared" si="57"/>
        <v>0</v>
      </c>
    </row>
    <row r="49" spans="1:27" x14ac:dyDescent="0.2">
      <c r="A49" s="9" t="s">
        <v>32</v>
      </c>
      <c r="B49" s="9"/>
      <c r="C49" s="9"/>
      <c r="D49" s="9"/>
      <c r="E49" s="29"/>
      <c r="F49" s="30"/>
      <c r="G49" s="33"/>
      <c r="H49" s="6"/>
      <c r="I49" s="6">
        <f>IF(G49&gt;0,G49,H49-(L49*B$2*1.05)+M49-N49*12.5+P49)</f>
        <v>0.45868321759259256</v>
      </c>
      <c r="J49" s="6"/>
      <c r="K49" s="6"/>
      <c r="L49" s="11">
        <v>1.4732500000000002</v>
      </c>
      <c r="M49" s="76">
        <f t="shared" si="58"/>
        <v>2.9649156250000002</v>
      </c>
      <c r="N49" s="12">
        <v>0.1237037037037037</v>
      </c>
      <c r="O49" s="216">
        <f t="shared" si="59"/>
        <v>0.14225925925925925</v>
      </c>
      <c r="P49" s="76">
        <f t="shared" si="60"/>
        <v>2.1338888888888889</v>
      </c>
      <c r="Q49" s="5">
        <f t="shared" si="50"/>
        <v>-4.6401212962962965</v>
      </c>
      <c r="R49" s="5">
        <f>Q49*B$12</f>
        <v>-1.531240027777778</v>
      </c>
      <c r="S49" s="5">
        <f t="shared" si="51"/>
        <v>-3.1088812685185188</v>
      </c>
      <c r="T49" s="4"/>
      <c r="U49" s="21">
        <f t="shared" si="52"/>
        <v>0</v>
      </c>
      <c r="V49" s="21">
        <f t="shared" si="61"/>
        <v>0</v>
      </c>
      <c r="W49" s="21">
        <f t="shared" si="62"/>
        <v>0</v>
      </c>
      <c r="X49" s="21">
        <f t="shared" si="55"/>
        <v>0</v>
      </c>
      <c r="Y49" s="21">
        <f t="shared" si="56"/>
        <v>0</v>
      </c>
      <c r="Z49" s="21">
        <f t="shared" si="57"/>
        <v>0</v>
      </c>
    </row>
    <row r="50" spans="1:27" s="23" customFormat="1" x14ac:dyDescent="0.2">
      <c r="A50" s="9" t="s">
        <v>47</v>
      </c>
      <c r="B50" s="115">
        <v>0.5</v>
      </c>
      <c r="C50" s="115">
        <v>0.5</v>
      </c>
      <c r="D50" s="132">
        <f>'Machinery(Soybeans)'!D26</f>
        <v>0.5</v>
      </c>
      <c r="E50" s="132">
        <f>IF('Machinery(Soybeans)'!$C$17='Machinery(Soybeans)'!$B$63,D50,IF('Machinery(Soybeans)'!$C$16='Machinery(Soybeans)'!$B$59,B50,C50))</f>
        <v>0.5</v>
      </c>
      <c r="F50" s="177" t="str">
        <f>IF('Machinery(Soybeans)'!C17='Machinery(Soybeans)'!B64,'Machinery(Soybeans)'!B49,'Machinery(Soybeans)'!E26)</f>
        <v>N</v>
      </c>
      <c r="G50" s="172"/>
      <c r="H50" s="6">
        <v>5.5</v>
      </c>
      <c r="I50" s="214">
        <f>H50+J50+K50</f>
        <v>5.46</v>
      </c>
      <c r="J50" s="214">
        <f>L50*(B$3-B$2)</f>
        <v>-0.04</v>
      </c>
      <c r="K50" s="214">
        <f>(B$4*(1-B$7)+B$6*(B$7) - B$14)*O50</f>
        <v>0</v>
      </c>
      <c r="L50" s="11">
        <v>0.16</v>
      </c>
      <c r="M50" s="76">
        <f t="shared" si="58"/>
        <v>0.32200000000000001</v>
      </c>
      <c r="N50" s="12">
        <v>0.1</v>
      </c>
      <c r="O50" s="216">
        <f t="shared" si="59"/>
        <v>0.11499999999999999</v>
      </c>
      <c r="P50" s="76">
        <f t="shared" si="60"/>
        <v>1.7249999999999999</v>
      </c>
      <c r="Q50" s="21">
        <f t="shared" si="50"/>
        <v>3.4130000000000003</v>
      </c>
      <c r="R50" s="21">
        <f>Q50*B$12</f>
        <v>1.1262900000000002</v>
      </c>
      <c r="S50" s="21">
        <f t="shared" si="51"/>
        <v>2.2867100000000002</v>
      </c>
      <c r="T50" s="9"/>
      <c r="U50" s="21">
        <f t="shared" si="52"/>
        <v>0.161</v>
      </c>
      <c r="V50" s="21">
        <f t="shared" si="61"/>
        <v>0.86249999999999993</v>
      </c>
      <c r="W50" s="21">
        <f t="shared" si="62"/>
        <v>0</v>
      </c>
      <c r="X50" s="21">
        <f t="shared" si="55"/>
        <v>0.56314500000000012</v>
      </c>
      <c r="Y50" s="21">
        <f t="shared" si="56"/>
        <v>1.1433550000000001</v>
      </c>
      <c r="Z50" s="21">
        <f t="shared" si="57"/>
        <v>0</v>
      </c>
      <c r="AA50" s="181"/>
    </row>
    <row r="51" spans="1:27" x14ac:dyDescent="0.2">
      <c r="A51" s="883" t="s">
        <v>102</v>
      </c>
      <c r="B51" s="884"/>
      <c r="C51" s="884"/>
      <c r="D51" s="884"/>
      <c r="E51" s="682"/>
      <c r="F51" s="217"/>
      <c r="G51" s="218"/>
      <c r="H51" s="219"/>
      <c r="I51" s="219">
        <f>IF(G51&gt;0,G51,Trucking!H50*Soybeans!E6)</f>
        <v>8.1733496956745029</v>
      </c>
      <c r="J51" s="219"/>
      <c r="K51" s="219"/>
      <c r="L51" s="220">
        <f>((Soybeans!E6*Trucking!B50*2)*(1+Trucking!C4))/(Trucking!C3*Trucking!C2)</f>
        <v>0.48815789473684212</v>
      </c>
      <c r="M51" s="221">
        <f>L51*Trucking!C9</f>
        <v>1.0104868421052631</v>
      </c>
      <c r="N51" s="219"/>
      <c r="O51" s="216">
        <f>Soybeans!E6*((((B8*2)/Trucking!C7) + (Trucking!C5/60)))/Trucking!C2</f>
        <v>0.11777777777777777</v>
      </c>
      <c r="P51" s="221">
        <f>O51*B$4*(1-B$7)+O51*B$6*(B$7)</f>
        <v>1.7666666666666666</v>
      </c>
      <c r="Q51" s="221">
        <f t="shared" si="50"/>
        <v>5.3961961869025732</v>
      </c>
      <c r="R51" s="221">
        <f>Q51*B$12</f>
        <v>1.7807447416778492</v>
      </c>
      <c r="S51" s="221">
        <f t="shared" si="51"/>
        <v>3.6154514452247239</v>
      </c>
      <c r="T51" s="222"/>
      <c r="U51" s="221">
        <f>IF(Soybeans!C76=Soybeans!C74,0,IF(U$15="Increase",IF(F51="y",0,IF($B8&gt;0,M51*(1+U$16),0)),IF(F51="y",0,IF($B8&gt;0,M51*(1-U$16),0))))</f>
        <v>1.0104868421052631</v>
      </c>
      <c r="V51" s="21">
        <f>IF(Soybeans!C76=Soybeans!C74,0,IF(V$15="Increase",IF(F51="y",0,IF($B8&gt;0,(O51*B$4*(1-B$7)*(1+V$16)),0)),IF(F51="y",0,IF($B8&gt;0,(O51*B$4*(1-B$7)*(1-V$16)),0))))</f>
        <v>1.7666666666666666</v>
      </c>
      <c r="W51" s="21">
        <f>IF(Soybeans!C76=Soybeans!C74,0,IF(W$15="Increase",IF(F51="y",0,IF($B8&gt;0,(O51*B$6*(B$7)*(1+W$16)),0)),IF(F51="y",0,IF($B8&gt;0,(O51*B$6*(B$7)*(1-W$16)),0))))</f>
        <v>0</v>
      </c>
      <c r="X51" s="221">
        <f>IF(Soybeans!C76=Soybeans!C74,0,IF(X$15="Increase",IF(F51="y",0,IF($B8&gt;0,R51*(1+X$16),0)),IF(F51="y",0,IF($B8&gt;0,R51*(1-X$16),0))))</f>
        <v>1.7807447416778492</v>
      </c>
      <c r="Y51" s="221">
        <f>IF(Soybeans!C76=Soybeans!C74,0,IF(Y$15="Increase",IF(F51="y",0,IF($B8&gt;0,S51*(1+Y$16),0)),IF(F51="y",0,IF($B8&gt;0,S51*(1-Y$16),0))))</f>
        <v>3.6154514452247239</v>
      </c>
      <c r="Z51" s="221">
        <f>IF(Soybeans!C76=Soybeans!C74,0,IF(Z$15="Increase",IF(F51="y",I51*(1+Z$16),0),IF(F51="y",I51*(1-Z$16),0)))</f>
        <v>0</v>
      </c>
      <c r="AA51" s="2">
        <f>SUM(U51:Z51)</f>
        <v>8.1733496956745029</v>
      </c>
    </row>
    <row r="52" spans="1:27" x14ac:dyDescent="0.2">
      <c r="A52" s="9"/>
      <c r="B52" s="9"/>
      <c r="C52" s="9"/>
      <c r="D52" s="9"/>
      <c r="E52" s="29"/>
      <c r="F52" s="30"/>
      <c r="G52" s="33"/>
      <c r="H52" s="6"/>
      <c r="I52" s="6"/>
      <c r="J52" s="6"/>
      <c r="K52" s="6"/>
      <c r="L52" s="9"/>
      <c r="M52" s="4"/>
      <c r="N52" s="9"/>
      <c r="O52" s="9"/>
      <c r="P52" s="4"/>
      <c r="Q52" s="4"/>
      <c r="R52" s="4"/>
      <c r="S52" s="4"/>
      <c r="T52" s="4"/>
      <c r="U52" s="4"/>
      <c r="V52" s="9"/>
      <c r="W52" s="9"/>
      <c r="X52" s="4"/>
      <c r="Y52" s="4"/>
      <c r="Z52" s="4"/>
    </row>
    <row r="53" spans="1:27" x14ac:dyDescent="0.2">
      <c r="A53" s="10" t="s">
        <v>33</v>
      </c>
      <c r="B53" s="10"/>
      <c r="C53" s="10"/>
      <c r="D53" s="10"/>
      <c r="E53" s="29"/>
      <c r="F53" s="30"/>
      <c r="G53" s="33"/>
      <c r="H53" s="6"/>
      <c r="I53" s="6"/>
      <c r="J53" s="6"/>
      <c r="K53" s="6"/>
      <c r="L53" s="9"/>
      <c r="M53" s="4"/>
      <c r="N53" s="9"/>
      <c r="O53" s="9"/>
      <c r="P53" s="4"/>
      <c r="Q53" s="4"/>
      <c r="R53" s="4"/>
      <c r="S53" s="4"/>
      <c r="T53" s="4"/>
      <c r="U53" s="4"/>
      <c r="V53" s="9"/>
      <c r="W53" s="9"/>
      <c r="X53" s="4"/>
      <c r="Y53" s="4"/>
      <c r="Z53" s="4"/>
    </row>
    <row r="54" spans="1:27" x14ac:dyDescent="0.2">
      <c r="A54" s="9"/>
      <c r="B54" s="9"/>
      <c r="C54" s="9"/>
      <c r="D54" s="9"/>
      <c r="E54" s="29"/>
      <c r="F54" s="30"/>
      <c r="G54" s="33"/>
      <c r="H54" s="6"/>
      <c r="I54" s="6"/>
      <c r="J54" s="6"/>
      <c r="K54" s="6"/>
      <c r="L54" s="9"/>
      <c r="M54" s="4"/>
      <c r="N54" s="9"/>
      <c r="O54" s="9"/>
      <c r="P54" s="4"/>
      <c r="Q54" s="4"/>
      <c r="R54" s="4"/>
      <c r="S54" s="4"/>
      <c r="T54" s="4"/>
      <c r="U54" s="4"/>
      <c r="V54" s="9"/>
      <c r="W54" s="9"/>
      <c r="X54" s="4"/>
      <c r="Y54" s="4"/>
      <c r="Z54" s="4"/>
    </row>
    <row r="55" spans="1:27" x14ac:dyDescent="0.2">
      <c r="A55" s="10" t="s">
        <v>35</v>
      </c>
      <c r="B55" s="10"/>
      <c r="C55" s="10"/>
      <c r="D55" s="10"/>
      <c r="E55" s="29"/>
      <c r="F55" s="30"/>
      <c r="G55" s="33"/>
      <c r="H55" s="6"/>
      <c r="I55" s="6"/>
      <c r="J55" s="6"/>
      <c r="K55" s="6"/>
      <c r="L55" s="9"/>
      <c r="M55" s="4"/>
      <c r="N55" s="9"/>
      <c r="O55" s="9"/>
      <c r="P55" s="4"/>
      <c r="Q55" s="4"/>
      <c r="R55" s="4"/>
      <c r="S55" s="4"/>
      <c r="T55" s="4"/>
      <c r="U55" s="4"/>
      <c r="V55" s="9"/>
      <c r="W55" s="9"/>
      <c r="X55" s="4"/>
      <c r="Y55" s="4"/>
      <c r="Z55" s="4"/>
    </row>
    <row r="56" spans="1:27" x14ac:dyDescent="0.2">
      <c r="A56" s="9" t="s">
        <v>36</v>
      </c>
      <c r="B56" s="115">
        <v>1</v>
      </c>
      <c r="C56" s="115">
        <v>1</v>
      </c>
      <c r="D56" s="132">
        <f>'Machinery(Soybeans)'!D24</f>
        <v>1</v>
      </c>
      <c r="E56" s="78">
        <f>IF('Machinery(Soybeans)'!$C$17='Machinery(Soybeans)'!$B$63,D56,IF('Machinery(Soybeans)'!$C$16='Machinery(Soybeans)'!$B$59,B56,C56))</f>
        <v>1</v>
      </c>
      <c r="F56" s="30" t="str">
        <f>IF('Machinery(Soybeans)'!C17='Machinery(Soybeans)'!B64,'Machinery(Soybeans)'!B49,'Machinery(Soybeans)'!E24)</f>
        <v>N</v>
      </c>
      <c r="G56" s="33"/>
      <c r="H56" s="6">
        <v>6.5</v>
      </c>
      <c r="I56" s="214">
        <f>H56+J56+K56</f>
        <v>6.4187904020919069</v>
      </c>
      <c r="J56" s="214">
        <f>L56*(B$3-B$2)</f>
        <v>-8.1209597908093276E-2</v>
      </c>
      <c r="K56" s="214">
        <f>(B$4*(1-B$7)+B$6*(B$7) - B$14)*O56</f>
        <v>0</v>
      </c>
      <c r="L56" s="11">
        <v>0.3248383916323731</v>
      </c>
      <c r="M56" s="76">
        <f t="shared" ref="M56:M60" si="63">L56*B$3*(1+B$13)</f>
        <v>0.65373726316015091</v>
      </c>
      <c r="N56" s="12">
        <v>3.9135775526950654E-2</v>
      </c>
      <c r="O56" s="216">
        <f t="shared" ref="O56:O60" si="64">N56*(1+B$16)</f>
        <v>4.5006141855993248E-2</v>
      </c>
      <c r="P56" s="76">
        <f t="shared" ref="P56:P60" si="65">O56*B$4*(1-B$7)+O56*B$6*(B$7)</f>
        <v>0.67509212783989869</v>
      </c>
      <c r="Q56" s="5">
        <f t="shared" ref="Q56:Q60" si="66">I56-M56-P56</f>
        <v>5.0899610110918569</v>
      </c>
      <c r="R56" s="5">
        <f t="shared" ref="R56:R60" si="67">Q56*B$12</f>
        <v>1.679687133660313</v>
      </c>
      <c r="S56" s="5">
        <f t="shared" ref="S56:S60" si="68">Q56-R56</f>
        <v>3.410273877431544</v>
      </c>
      <c r="T56" s="4"/>
      <c r="U56" s="21">
        <f t="shared" ref="U56:U60" si="69">IF(U$15="Increase",IF(F56="y",0,IF($E56&gt;0,M56*$E56*(1+U$16),0)),IF(F56="y",0,IF($E56&gt;0,M56*$E56*(1-U$16),0)))</f>
        <v>0.65373726316015091</v>
      </c>
      <c r="V56" s="21">
        <f t="shared" ref="V56:V60" si="70">IF(V$15="Increase",IF(F56="y",0,IF($E56&gt;0,(O56*B$4*(1-B$7))*$E56*(1+V$16),0)),IF(F56="y",0,IF($E56&gt;0,(O56*B$4*(1-B$7))*$E56*(1-V$16),0)))</f>
        <v>0.67509212783989869</v>
      </c>
      <c r="W56" s="21">
        <f t="shared" ref="W56:W60" si="71">IF(W$15="Increase",IF(F56="y",0,IF($E56&gt;0,(O56*B$6*(B$7))*$E56*(1+W$16),0)),IF(F56="y",0,IF($E56&gt;0,(O56*B$6*(B$7))*$E56*(1-W$16),0)))</f>
        <v>0</v>
      </c>
      <c r="X56" s="21">
        <f t="shared" ref="X56:X60" si="72">IF(X$15="Increase",IF(F56="y",0,IF($E56&gt;0,R56*$E56*(1+X$16),0)),IF(F56="y",0,IF($E56&gt;0,R56*$E56*(1-X$16),0)))</f>
        <v>1.679687133660313</v>
      </c>
      <c r="Y56" s="21">
        <f t="shared" ref="Y56:Y60" si="73">IF(Y$15="Increase",IF(F56="y",0,IF($E56&gt;0,S56*$E56*(1+Y$16),0)),IF(F56="y",0,IF($E56&gt;0,S56*$E56*(1-Y$16),0)))</f>
        <v>3.410273877431544</v>
      </c>
      <c r="Z56" s="21">
        <f t="shared" ref="Z56:Z60" si="74">IF(Z$15="Increase",IF(F56="y",I56*E56*(1+Z$16),0),IF(F56="y",I56*E56*(1-Z$16),0))</f>
        <v>0</v>
      </c>
    </row>
    <row r="57" spans="1:27" x14ac:dyDescent="0.2">
      <c r="A57" s="9" t="s">
        <v>37</v>
      </c>
      <c r="B57" s="9"/>
      <c r="C57" s="9"/>
      <c r="D57" s="9"/>
      <c r="E57" s="29"/>
      <c r="F57" s="30"/>
      <c r="G57" s="33"/>
      <c r="H57" s="6"/>
      <c r="I57" s="6">
        <f t="shared" ref="I57:I60" si="75">IF(G57&gt;0,G57,H57-(L57*B$2*1.05)+M57-N57*12.5+P57)</f>
        <v>0.20101121810045253</v>
      </c>
      <c r="J57" s="6"/>
      <c r="K57" s="6"/>
      <c r="L57" s="11">
        <v>0.41465363511659803</v>
      </c>
      <c r="M57" s="76">
        <f t="shared" si="63"/>
        <v>0.8344904406721535</v>
      </c>
      <c r="N57" s="12">
        <v>4.9956507615401075E-2</v>
      </c>
      <c r="O57" s="216">
        <f t="shared" si="64"/>
        <v>5.744998375771123E-2</v>
      </c>
      <c r="P57" s="76">
        <f t="shared" si="65"/>
        <v>0.86174975636566842</v>
      </c>
      <c r="Q57" s="5">
        <f t="shared" si="66"/>
        <v>-1.4952289789373694</v>
      </c>
      <c r="R57" s="5">
        <f t="shared" si="67"/>
        <v>-0.49342556304933194</v>
      </c>
      <c r="S57" s="5">
        <f t="shared" si="68"/>
        <v>-1.0018034158880376</v>
      </c>
      <c r="T57" s="4"/>
      <c r="U57" s="21">
        <f t="shared" si="69"/>
        <v>0</v>
      </c>
      <c r="V57" s="21">
        <f t="shared" si="70"/>
        <v>0</v>
      </c>
      <c r="W57" s="21">
        <f t="shared" si="71"/>
        <v>0</v>
      </c>
      <c r="X57" s="21">
        <f t="shared" si="72"/>
        <v>0</v>
      </c>
      <c r="Y57" s="21">
        <f t="shared" si="73"/>
        <v>0</v>
      </c>
      <c r="Z57" s="21">
        <f t="shared" si="74"/>
        <v>0</v>
      </c>
    </row>
    <row r="58" spans="1:27" x14ac:dyDescent="0.2">
      <c r="A58" s="9" t="s">
        <v>38</v>
      </c>
      <c r="B58" s="9"/>
      <c r="C58" s="9"/>
      <c r="D58" s="9"/>
      <c r="E58" s="29"/>
      <c r="F58" s="30"/>
      <c r="G58" s="33"/>
      <c r="H58" s="6"/>
      <c r="I58" s="6">
        <f t="shared" si="75"/>
        <v>0.19226492845791376</v>
      </c>
      <c r="J58" s="6"/>
      <c r="K58" s="6"/>
      <c r="L58" s="11">
        <v>0.39661145404663922</v>
      </c>
      <c r="M58" s="76">
        <f t="shared" si="63"/>
        <v>0.79818055126886134</v>
      </c>
      <c r="N58" s="12">
        <v>4.778282751305156E-2</v>
      </c>
      <c r="O58" s="216">
        <f t="shared" si="64"/>
        <v>5.4950251640009287E-2</v>
      </c>
      <c r="P58" s="76">
        <f t="shared" si="65"/>
        <v>0.82425377460013927</v>
      </c>
      <c r="Q58" s="5">
        <f t="shared" si="66"/>
        <v>-1.430169397411087</v>
      </c>
      <c r="R58" s="5">
        <f t="shared" si="67"/>
        <v>-0.47195590114565872</v>
      </c>
      <c r="S58" s="5">
        <f t="shared" si="68"/>
        <v>-0.95821349626542829</v>
      </c>
      <c r="T58" s="4"/>
      <c r="U58" s="21">
        <f t="shared" si="69"/>
        <v>0</v>
      </c>
      <c r="V58" s="21">
        <f t="shared" si="70"/>
        <v>0</v>
      </c>
      <c r="W58" s="21">
        <f t="shared" si="71"/>
        <v>0</v>
      </c>
      <c r="X58" s="21">
        <f t="shared" si="72"/>
        <v>0</v>
      </c>
      <c r="Y58" s="21">
        <f t="shared" si="73"/>
        <v>0</v>
      </c>
      <c r="Z58" s="21">
        <f t="shared" si="74"/>
        <v>0</v>
      </c>
    </row>
    <row r="59" spans="1:27" x14ac:dyDescent="0.2">
      <c r="A59" s="9" t="s">
        <v>39</v>
      </c>
      <c r="B59" s="9"/>
      <c r="C59" s="9"/>
      <c r="D59" s="9"/>
      <c r="E59" s="29"/>
      <c r="F59" s="30"/>
      <c r="G59" s="33"/>
      <c r="H59" s="6"/>
      <c r="I59" s="6">
        <f t="shared" si="75"/>
        <v>0.33558132365319837</v>
      </c>
      <c r="J59" s="6"/>
      <c r="K59" s="6"/>
      <c r="L59" s="11">
        <v>0.69225000000000003</v>
      </c>
      <c r="M59" s="76">
        <f t="shared" si="63"/>
        <v>1.393153125</v>
      </c>
      <c r="N59" s="12">
        <v>8.3400673400673392E-2</v>
      </c>
      <c r="O59" s="216">
        <f t="shared" si="64"/>
        <v>9.5910774410774391E-2</v>
      </c>
      <c r="P59" s="76">
        <f t="shared" si="65"/>
        <v>1.4386616161616159</v>
      </c>
      <c r="Q59" s="5">
        <f t="shared" si="66"/>
        <v>-2.4962334175084173</v>
      </c>
      <c r="R59" s="5">
        <f t="shared" si="67"/>
        <v>-0.82375702777777771</v>
      </c>
      <c r="S59" s="5">
        <f t="shared" si="68"/>
        <v>-1.6724763897306396</v>
      </c>
      <c r="T59" s="4"/>
      <c r="U59" s="21">
        <f t="shared" si="69"/>
        <v>0</v>
      </c>
      <c r="V59" s="21">
        <f t="shared" si="70"/>
        <v>0</v>
      </c>
      <c r="W59" s="21">
        <f t="shared" si="71"/>
        <v>0</v>
      </c>
      <c r="X59" s="21">
        <f t="shared" si="72"/>
        <v>0</v>
      </c>
      <c r="Y59" s="21">
        <f t="shared" si="73"/>
        <v>0</v>
      </c>
      <c r="Z59" s="21">
        <f t="shared" si="74"/>
        <v>0</v>
      </c>
    </row>
    <row r="60" spans="1:27" x14ac:dyDescent="0.2">
      <c r="A60" s="9" t="s">
        <v>40</v>
      </c>
      <c r="B60" s="9"/>
      <c r="C60" s="9"/>
      <c r="D60" s="9"/>
      <c r="E60" s="29"/>
      <c r="F60" s="30"/>
      <c r="G60" s="33"/>
      <c r="H60" s="6"/>
      <c r="I60" s="6">
        <f t="shared" si="75"/>
        <v>0.53897091876170933</v>
      </c>
      <c r="J60" s="6"/>
      <c r="K60" s="6"/>
      <c r="L60" s="11">
        <v>1.1118098422496572</v>
      </c>
      <c r="M60" s="76">
        <f t="shared" si="63"/>
        <v>2.2375173075274346</v>
      </c>
      <c r="N60" s="12">
        <v>0.13394826946495897</v>
      </c>
      <c r="O60" s="216">
        <f t="shared" si="64"/>
        <v>0.1540405098847028</v>
      </c>
      <c r="P60" s="76">
        <f t="shared" si="65"/>
        <v>2.3106076482705422</v>
      </c>
      <c r="Q60" s="5">
        <f t="shared" si="66"/>
        <v>-4.0091540370362679</v>
      </c>
      <c r="R60" s="5">
        <f t="shared" si="67"/>
        <v>-1.3230208322219685</v>
      </c>
      <c r="S60" s="5">
        <f t="shared" si="68"/>
        <v>-2.6861332048142996</v>
      </c>
      <c r="T60" s="4"/>
      <c r="U60" s="21">
        <f t="shared" si="69"/>
        <v>0</v>
      </c>
      <c r="V60" s="21">
        <f t="shared" si="70"/>
        <v>0</v>
      </c>
      <c r="W60" s="21">
        <f t="shared" si="71"/>
        <v>0</v>
      </c>
      <c r="X60" s="21">
        <f t="shared" si="72"/>
        <v>0</v>
      </c>
      <c r="Y60" s="21">
        <f t="shared" si="73"/>
        <v>0</v>
      </c>
      <c r="Z60" s="21">
        <f t="shared" si="74"/>
        <v>0</v>
      </c>
    </row>
    <row r="61" spans="1:27" x14ac:dyDescent="0.2">
      <c r="A61" s="9"/>
      <c r="B61" s="9"/>
      <c r="C61" s="9"/>
      <c r="D61" s="9"/>
      <c r="E61" s="29"/>
      <c r="F61" s="30"/>
      <c r="G61" s="33"/>
      <c r="H61" s="6"/>
      <c r="I61" s="6"/>
      <c r="J61" s="6"/>
      <c r="K61" s="6"/>
      <c r="L61" s="9"/>
      <c r="M61" s="4"/>
      <c r="N61" s="9"/>
      <c r="O61" s="9"/>
      <c r="P61" s="4"/>
      <c r="Q61" s="4"/>
      <c r="R61" s="4"/>
      <c r="S61" s="4"/>
      <c r="T61" s="4"/>
      <c r="U61" s="4"/>
      <c r="V61" s="9"/>
      <c r="W61" s="9"/>
      <c r="X61" s="4"/>
      <c r="Y61" s="4"/>
      <c r="Z61" s="4"/>
    </row>
    <row r="62" spans="1:27" x14ac:dyDescent="0.2">
      <c r="A62" s="10" t="s">
        <v>41</v>
      </c>
      <c r="B62" s="10"/>
      <c r="C62" s="10"/>
      <c r="D62" s="10"/>
      <c r="E62" s="29"/>
      <c r="F62" s="30"/>
      <c r="G62" s="33"/>
      <c r="H62" s="6"/>
      <c r="I62" s="6"/>
      <c r="J62" s="6"/>
      <c r="K62" s="6"/>
      <c r="L62" s="9"/>
      <c r="M62" s="4"/>
      <c r="N62" s="9"/>
      <c r="O62" s="9"/>
      <c r="P62" s="4"/>
      <c r="Q62" s="4"/>
      <c r="R62" s="4"/>
      <c r="S62" s="4"/>
      <c r="T62" s="4"/>
      <c r="U62" s="4"/>
      <c r="V62" s="9"/>
      <c r="W62" s="9"/>
      <c r="X62" s="4"/>
      <c r="Y62" s="4"/>
      <c r="Z62" s="4"/>
    </row>
    <row r="63" spans="1:27" x14ac:dyDescent="0.2">
      <c r="A63" s="9" t="s">
        <v>42</v>
      </c>
      <c r="B63" s="115">
        <v>2.5</v>
      </c>
      <c r="C63" s="115">
        <v>2.5</v>
      </c>
      <c r="D63" s="132">
        <f>'Machinery(Soybeans)'!D23</f>
        <v>2</v>
      </c>
      <c r="E63" s="78">
        <f>IF('Machinery(Soybeans)'!$C$17='Machinery(Soybeans)'!$B$63,D63,IF('Machinery(Soybeans)'!$C$16='Machinery(Soybeans)'!$B$59,B63,C63))</f>
        <v>2.5</v>
      </c>
      <c r="F63" s="30" t="str">
        <f>IF('Machinery(Soybeans)'!C17='Machinery(Soybeans)'!B64,'Machinery(Soybeans)'!B49,'Machinery(Soybeans)'!E23)</f>
        <v>N</v>
      </c>
      <c r="G63" s="33"/>
      <c r="H63" s="6">
        <v>7.5</v>
      </c>
      <c r="I63" s="214">
        <f>H63+J63+K63</f>
        <v>7.4704375000000001</v>
      </c>
      <c r="J63" s="214">
        <f>L63*(B$3-B$2)</f>
        <v>-2.9562500000000002E-2</v>
      </c>
      <c r="K63" s="214">
        <f>(B$4*(1-B$7)+B$6*(B$7) - B$14)*O63</f>
        <v>0</v>
      </c>
      <c r="L63" s="11">
        <v>0.11825000000000001</v>
      </c>
      <c r="M63" s="76">
        <f t="shared" ref="M63:M64" si="76">L63*B$3*(1+B$13)</f>
        <v>0.23797812500000001</v>
      </c>
      <c r="N63" s="12">
        <v>0.03</v>
      </c>
      <c r="O63" s="216">
        <f t="shared" ref="O63:O64" si="77">N63*(1+B$16)</f>
        <v>3.4499999999999996E-2</v>
      </c>
      <c r="P63" s="76">
        <f t="shared" ref="P63:P64" si="78">O63*B$4*(1-B$7)+O63*B$6*(B$7)</f>
        <v>0.51749999999999996</v>
      </c>
      <c r="Q63" s="5">
        <f>I63-M63-P63</f>
        <v>6.7149593750000003</v>
      </c>
      <c r="R63" s="5">
        <f>Q63*B$12</f>
        <v>2.2159365937500004</v>
      </c>
      <c r="S63" s="5">
        <f>Q63-R63</f>
        <v>4.4990227812499999</v>
      </c>
      <c r="T63" s="4"/>
      <c r="U63" s="21">
        <f>IF(U$15="Increase",IF(F63="y",0,IF($E63&gt;0,M63*$E63*(1+U$16),0)),IF(F63="y",0,IF($E63&gt;0,M63*$E63*(1-U$16),0)))</f>
        <v>0.59494531250000005</v>
      </c>
      <c r="V63" s="21">
        <f t="shared" ref="V63:V64" si="79">IF(V$15="Increase",IF(F63="y",0,IF($E63&gt;0,(O63*B$4*(1-B$7))*$E63*(1+V$16),0)),IF(F63="y",0,IF($E63&gt;0,(O63*B$4*(1-B$7))*$E63*(1-V$16),0)))</f>
        <v>1.29375</v>
      </c>
      <c r="W63" s="21">
        <f t="shared" ref="W63:W64" si="80">IF(W$15="Increase",IF(F63="y",0,IF($E63&gt;0,(O63*B$6*(B$7))*$E63*(1+W$16),0)),IF(F63="y",0,IF($E63&gt;0,(O63*B$6*(B$7))*$E63*(1-W$16),0)))</f>
        <v>0</v>
      </c>
      <c r="X63" s="21">
        <f>IF(X$15="Increase",IF(F63="y",0,IF($E63&gt;0,R63*$E63*(1+X$16),0)),IF(F63="y",0,IF($E63&gt;0,R63*$E63*(1-X$16),0)))</f>
        <v>5.5398414843750015</v>
      </c>
      <c r="Y63" s="21">
        <f>IF(Y$15="Increase",IF(F63="y",0,IF($E63&gt;0,S63*$E63*(1+Y$16),0)),IF(F63="y",0,IF($E63&gt;0,S63*$E63*(1-Y$16),0)))</f>
        <v>11.247556953124999</v>
      </c>
      <c r="Z63" s="21">
        <f>IF(Z$15="Increase",IF(F63="y",I63*E63*(1+Z$16),0),IF(F63="y",I63*E63*(1-Z$16),0))</f>
        <v>0</v>
      </c>
    </row>
    <row r="64" spans="1:27" x14ac:dyDescent="0.2">
      <c r="A64" s="9" t="s">
        <v>43</v>
      </c>
      <c r="B64" s="9"/>
      <c r="C64" s="9"/>
      <c r="D64" s="9"/>
      <c r="E64" s="29"/>
      <c r="F64" s="30"/>
      <c r="G64" s="33"/>
      <c r="H64" s="6"/>
      <c r="I64" s="6">
        <f>IF(G64&gt;0,G64,H64-(L64*B$2*1.05)+M64-N64*12.5+P64)</f>
        <v>6.0745370370370366E-2</v>
      </c>
      <c r="J64" s="6"/>
      <c r="K64" s="6"/>
      <c r="L64" s="11">
        <v>0.11</v>
      </c>
      <c r="M64" s="76">
        <f t="shared" si="76"/>
        <v>0.22137499999999999</v>
      </c>
      <c r="N64" s="12">
        <v>1.4814814814814815E-2</v>
      </c>
      <c r="O64" s="216">
        <f t="shared" si="77"/>
        <v>1.7037037037037038E-2</v>
      </c>
      <c r="P64" s="76">
        <f t="shared" si="78"/>
        <v>0.25555555555555559</v>
      </c>
      <c r="Q64" s="5">
        <f>I64-M64-P64</f>
        <v>-0.41618518518518521</v>
      </c>
      <c r="R64" s="5">
        <f>Q64*B$12</f>
        <v>-0.13734111111111114</v>
      </c>
      <c r="S64" s="5">
        <f>Q64-R64</f>
        <v>-0.27884407407407408</v>
      </c>
      <c r="T64" s="4"/>
      <c r="U64" s="21">
        <f>IF(U$15="Increase",IF(F64="y",0,IF($E64&gt;0,M64*$E64*(1+U$16),0)),IF(F64="y",0,IF($E64&gt;0,M64*$E64*(1-U$16),0)))</f>
        <v>0</v>
      </c>
      <c r="V64" s="21">
        <f t="shared" si="79"/>
        <v>0</v>
      </c>
      <c r="W64" s="21">
        <f t="shared" si="80"/>
        <v>0</v>
      </c>
      <c r="X64" s="21">
        <f>IF(X$15="Increase",IF(F64="y",0,IF($E64&gt;0,R64*$E64*(1+X$16),0)),IF(F64="y",0,IF($E64&gt;0,R64*$E64*(1-X$16),0)))</f>
        <v>0</v>
      </c>
      <c r="Y64" s="21">
        <f>IF(Y$15="Increase",IF(F64="y",0,IF($E64&gt;0,S64*$E64*(1+Y$16),0)),IF(F64="y",0,IF($E64&gt;0,S64*$E64*(1-Y$16),0)))</f>
        <v>0</v>
      </c>
      <c r="Z64" s="21">
        <f>IF(Z$15="Increase",IF(F64="y",I64*E64*(1+Z$16),0),IF(F64="y",I64*E64*(1-Z$16),0))</f>
        <v>0</v>
      </c>
    </row>
    <row r="65" spans="1:27" x14ac:dyDescent="0.2">
      <c r="A65" s="9"/>
      <c r="B65" s="9"/>
      <c r="C65" s="9"/>
      <c r="D65" s="9"/>
      <c r="E65" s="29"/>
      <c r="F65" s="30"/>
      <c r="G65" s="33"/>
      <c r="H65" s="6"/>
      <c r="I65" s="6"/>
      <c r="J65" s="6"/>
      <c r="K65" s="6"/>
      <c r="L65" s="9"/>
      <c r="M65" s="4"/>
      <c r="N65" s="9"/>
      <c r="O65" s="9"/>
      <c r="P65" s="4"/>
      <c r="Q65" s="4"/>
      <c r="R65" s="4"/>
      <c r="S65" s="4"/>
      <c r="T65" s="4"/>
      <c r="U65" s="4"/>
      <c r="V65" s="9"/>
      <c r="W65" s="9"/>
      <c r="X65" s="4"/>
      <c r="Y65" s="4"/>
      <c r="Z65" s="4"/>
    </row>
    <row r="66" spans="1:27" x14ac:dyDescent="0.2">
      <c r="A66" s="10" t="s">
        <v>44</v>
      </c>
      <c r="B66" s="10"/>
      <c r="C66" s="10"/>
      <c r="D66" s="10"/>
      <c r="E66" s="29"/>
      <c r="F66" s="30"/>
      <c r="G66" s="33"/>
      <c r="H66" s="6"/>
      <c r="I66" s="6"/>
      <c r="J66" s="6"/>
      <c r="K66" s="6"/>
      <c r="L66" s="9"/>
      <c r="M66" s="4"/>
      <c r="N66" s="9"/>
      <c r="O66" s="9"/>
      <c r="P66" s="4"/>
      <c r="Q66" s="4"/>
      <c r="R66" s="4"/>
      <c r="S66" s="4"/>
      <c r="T66" s="4"/>
      <c r="U66" s="4"/>
      <c r="V66" s="9"/>
      <c r="W66" s="9"/>
      <c r="X66" s="4"/>
      <c r="Y66" s="4"/>
      <c r="Z66" s="4"/>
    </row>
    <row r="67" spans="1:27" x14ac:dyDescent="0.2">
      <c r="A67" s="9" t="s">
        <v>45</v>
      </c>
      <c r="B67" s="9"/>
      <c r="C67" s="9"/>
      <c r="D67" s="9"/>
      <c r="E67" s="29"/>
      <c r="F67" s="30"/>
      <c r="G67" s="33"/>
      <c r="H67" s="6"/>
      <c r="I67" s="6">
        <f>IF(G67&gt;0,G67,H67-(L67*B$2*1.05)+M67-N67*12.5+P67)</f>
        <v>0.1594692129629629</v>
      </c>
      <c r="J67" s="6"/>
      <c r="K67" s="6"/>
      <c r="L67" s="11">
        <v>0.26850000000000002</v>
      </c>
      <c r="M67" s="76">
        <f t="shared" ref="M67:M68" si="81">L67*B$3*(1+B$13)</f>
        <v>0.54035624999999998</v>
      </c>
      <c r="N67" s="12">
        <v>3.8518518518518521E-2</v>
      </c>
      <c r="O67" s="216">
        <f t="shared" ref="O67:O68" si="82">N67*(1+B$16)</f>
        <v>4.4296296296296299E-2</v>
      </c>
      <c r="P67" s="76">
        <f t="shared" ref="P67:P68" si="83">O67*B$4*(1-B$7)+O67*B$6*(B$7)</f>
        <v>0.6644444444444445</v>
      </c>
      <c r="Q67" s="5">
        <f>I67-M67-P67</f>
        <v>-1.0453314814814816</v>
      </c>
      <c r="R67" s="5">
        <f>Q67*B$12</f>
        <v>-0.34495938888888894</v>
      </c>
      <c r="S67" s="5">
        <f>Q67-R67</f>
        <v>-0.7003720925925927</v>
      </c>
      <c r="T67" s="4"/>
      <c r="U67" s="21">
        <f>IF(U$15="Increase",IF(F67="y",0,IF($E67&gt;0,M67*$E67*(1+U$16),0)),IF(F67="y",0,IF($E67&gt;0,M67*$E67*(1-U$16),0)))</f>
        <v>0</v>
      </c>
      <c r="V67" s="21">
        <f t="shared" ref="V67:V68" si="84">IF(V$15="Increase",IF(F67="y",0,IF($E67&gt;0,(O67*B$4*(1-B$7))*$E67*(1+V$16),0)),IF(F67="y",0,IF($E67&gt;0,(O67*B$4*(1-B$7))*$E67*(1-V$16),0)))</f>
        <v>0</v>
      </c>
      <c r="W67" s="21">
        <f t="shared" ref="W67:W68" si="85">IF(W$15="Increase",IF(F67="y",0,IF($E67&gt;0,(O67*B$6*(B$7))*$E67*(1+W$16),0)),IF(F67="y",0,IF($E67&gt;0,(O67*B$6*(B$7))*$E67*(1-W$16),0)))</f>
        <v>0</v>
      </c>
      <c r="X67" s="21">
        <f>IF(X$15="Increase",IF(F67="y",0,IF($E67&gt;0,R67*$E67*(1+X$16),0)),IF(F67="y",0,IF($E67&gt;0,R67*$E67*(1-X$16),0)))</f>
        <v>0</v>
      </c>
      <c r="Y67" s="21">
        <f>IF(Y$15="Increase",IF(F67="y",0,IF($E67&gt;0,S67*$E67*(1+Y$16),0)),IF(F67="y",0,IF($E67&gt;0,S67*$E67*(1-Y$16),0)))</f>
        <v>0</v>
      </c>
      <c r="Z67" s="21">
        <f>IF(Z$15="Increase",IF(F67="y",I67*E67*(1+Z$16),0),IF(F67="y",I67*E67*(1-Z$16),0))</f>
        <v>0</v>
      </c>
    </row>
    <row r="68" spans="1:27" x14ac:dyDescent="0.2">
      <c r="A68" s="9" t="s">
        <v>46</v>
      </c>
      <c r="B68" s="9"/>
      <c r="C68" s="9"/>
      <c r="D68" s="9"/>
      <c r="E68" s="29"/>
      <c r="F68" s="30"/>
      <c r="G68" s="33"/>
      <c r="H68" s="6"/>
      <c r="I68" s="6">
        <f>IF(G68&gt;0,G68,H68-(L68*B$2*1.05)+M68-N68*12.5+P68)</f>
        <v>0.35675033670033662</v>
      </c>
      <c r="J68" s="6"/>
      <c r="K68" s="6"/>
      <c r="L68" s="11">
        <v>0.52800000000000002</v>
      </c>
      <c r="M68" s="76">
        <f t="shared" si="81"/>
        <v>1.0626</v>
      </c>
      <c r="N68" s="12">
        <v>8.4831649831649841E-2</v>
      </c>
      <c r="O68" s="216">
        <f t="shared" si="82"/>
        <v>9.7556397306397313E-2</v>
      </c>
      <c r="P68" s="76">
        <f t="shared" si="83"/>
        <v>1.4633459595959597</v>
      </c>
      <c r="Q68" s="5">
        <f>I68-M68-P68</f>
        <v>-2.1691956228956233</v>
      </c>
      <c r="R68" s="5">
        <f>Q68*B$12</f>
        <v>-0.71583455555555575</v>
      </c>
      <c r="S68" s="5">
        <f>Q68-R68</f>
        <v>-1.4533610673400674</v>
      </c>
      <c r="T68" s="4"/>
      <c r="U68" s="21">
        <f>IF(U$15="Increase",IF(F68="y",0,IF($E68&gt;0,M68*$E68*(1+U$16),0)),IF(F68="y",0,IF($E68&gt;0,M68*$E68*(1-U$16),0)))</f>
        <v>0</v>
      </c>
      <c r="V68" s="21">
        <f t="shared" si="84"/>
        <v>0</v>
      </c>
      <c r="W68" s="21">
        <f t="shared" si="85"/>
        <v>0</v>
      </c>
      <c r="X68" s="21">
        <f>IF(X$15="Increase",IF(F68="y",0,IF($E68&gt;0,R68*$E68*(1+X$16),0)),IF(F68="y",0,IF($E68&gt;0,R68*$E68*(1-X$16),0)))</f>
        <v>0</v>
      </c>
      <c r="Y68" s="21">
        <f>IF(Y$15="Increase",IF(F68="y",0,IF($E68&gt;0,S68*$E68*(1+Y$16),0)),IF(F68="y",0,IF($E68&gt;0,S68*$E68*(1-Y$16),0)))</f>
        <v>0</v>
      </c>
      <c r="Z68" s="21">
        <f>IF(Z$15="Increase",IF(F68="y",I68*E68*(1+Z$16),0),IF(F68="y",I68*E68*(1-Z$16),0))</f>
        <v>0</v>
      </c>
    </row>
    <row r="69" spans="1:27" x14ac:dyDescent="0.2">
      <c r="A69" s="9"/>
      <c r="B69" s="9"/>
      <c r="C69" s="9"/>
      <c r="D69" s="9"/>
      <c r="E69" s="29"/>
      <c r="F69" s="30"/>
      <c r="G69" s="33"/>
      <c r="H69" s="6"/>
      <c r="I69" s="6"/>
      <c r="J69" s="6"/>
      <c r="K69" s="6"/>
      <c r="L69" s="11"/>
      <c r="M69" s="5"/>
      <c r="N69" s="12"/>
      <c r="O69" s="12"/>
      <c r="P69" s="5"/>
      <c r="Q69" s="5"/>
      <c r="R69" s="5"/>
      <c r="S69" s="5"/>
      <c r="T69" s="4"/>
      <c r="U69" s="21"/>
      <c r="V69" s="21"/>
      <c r="W69" s="21"/>
      <c r="X69" s="21"/>
      <c r="Y69" s="21"/>
      <c r="Z69" s="21"/>
    </row>
    <row r="70" spans="1:27" s="23" customFormat="1" x14ac:dyDescent="0.2">
      <c r="A70" s="10" t="s">
        <v>290</v>
      </c>
      <c r="B70" s="9"/>
      <c r="C70" s="9"/>
      <c r="D70" s="9"/>
      <c r="E70" s="178"/>
      <c r="F70" s="177"/>
      <c r="G70" s="172"/>
      <c r="H70" s="6"/>
      <c r="I70" s="6"/>
      <c r="J70" s="6"/>
      <c r="K70" s="6"/>
      <c r="L70" s="11"/>
      <c r="M70" s="21"/>
      <c r="N70" s="12"/>
      <c r="O70" s="12"/>
      <c r="P70" s="21"/>
      <c r="Q70" s="21"/>
      <c r="R70" s="21"/>
      <c r="S70" s="21"/>
      <c r="T70" s="9"/>
      <c r="U70" s="21"/>
      <c r="V70" s="21"/>
      <c r="W70" s="21"/>
      <c r="X70" s="21"/>
      <c r="Y70" s="21"/>
      <c r="Z70" s="21"/>
    </row>
    <row r="71" spans="1:27" s="23" customFormat="1" x14ac:dyDescent="0.2">
      <c r="A71" s="65" t="s">
        <v>289</v>
      </c>
      <c r="B71" s="9"/>
      <c r="C71" s="9"/>
      <c r="D71" s="9"/>
      <c r="E71" s="178"/>
      <c r="F71" s="177"/>
      <c r="G71" s="172"/>
      <c r="H71" s="6"/>
      <c r="I71" s="6"/>
      <c r="J71" s="6"/>
      <c r="K71" s="6"/>
      <c r="L71" s="11"/>
      <c r="M71" s="21"/>
      <c r="N71" s="12"/>
      <c r="O71" s="12"/>
      <c r="P71" s="21"/>
      <c r="Q71" s="21"/>
      <c r="R71" s="21"/>
      <c r="S71" s="21"/>
      <c r="T71" s="9"/>
      <c r="U71" s="21"/>
      <c r="V71" s="21">
        <f>B4*(1-B7)*B15</f>
        <v>11.25</v>
      </c>
      <c r="W71" s="21">
        <f>B6*B7*B15</f>
        <v>0</v>
      </c>
      <c r="X71" s="21"/>
      <c r="Y71" s="21"/>
      <c r="Z71" s="21"/>
    </row>
    <row r="72" spans="1:27" s="62" customFormat="1" x14ac:dyDescent="0.2">
      <c r="A72" s="75"/>
      <c r="B72" s="74"/>
      <c r="C72" s="74"/>
      <c r="D72" s="74"/>
      <c r="E72" s="308"/>
      <c r="F72" s="309"/>
      <c r="G72" s="310"/>
      <c r="H72" s="214"/>
      <c r="I72" s="214"/>
      <c r="J72" s="214"/>
      <c r="K72" s="214"/>
      <c r="L72" s="301"/>
      <c r="M72" s="76"/>
      <c r="N72" s="216"/>
      <c r="O72" s="216"/>
      <c r="P72" s="76"/>
      <c r="Q72" s="76"/>
      <c r="R72" s="76"/>
      <c r="S72" s="76"/>
      <c r="T72" s="74"/>
      <c r="U72" s="76">
        <f>'Machinery(Soybeans)'!C37*'Machinery(Soybeans)'!C5</f>
        <v>0.61249999999999993</v>
      </c>
      <c r="V72" s="76"/>
      <c r="W72" s="76"/>
      <c r="X72" s="76"/>
      <c r="Y72" s="76"/>
      <c r="Z72" s="76"/>
    </row>
    <row r="73" spans="1:27" x14ac:dyDescent="0.2">
      <c r="A73" s="9"/>
      <c r="B73" s="9"/>
      <c r="C73" s="9"/>
      <c r="D73" s="9"/>
      <c r="E73" s="29"/>
      <c r="F73" s="30"/>
      <c r="G73" s="33"/>
      <c r="H73" s="6"/>
      <c r="I73" s="6"/>
      <c r="J73" s="6"/>
      <c r="K73" s="6"/>
      <c r="L73" s="11"/>
      <c r="M73" s="5"/>
      <c r="N73" s="12"/>
      <c r="O73" s="12"/>
      <c r="P73" s="5"/>
      <c r="Q73" s="5"/>
      <c r="R73" s="5"/>
      <c r="S73" s="5"/>
      <c r="T73" s="4"/>
      <c r="U73" s="21"/>
      <c r="V73" s="21"/>
      <c r="W73" s="21"/>
      <c r="X73" s="21"/>
      <c r="Y73" s="21"/>
      <c r="Z73" s="21"/>
    </row>
    <row r="74" spans="1:27" x14ac:dyDescent="0.2">
      <c r="A74" s="13" t="s">
        <v>83</v>
      </c>
      <c r="B74" s="13"/>
      <c r="C74" s="13"/>
      <c r="D74" s="13"/>
      <c r="E74" s="27"/>
      <c r="F74" s="28"/>
      <c r="G74" s="34"/>
      <c r="H74" s="9"/>
      <c r="I74" s="4"/>
      <c r="J74" s="4"/>
      <c r="K74" s="4"/>
      <c r="L74" s="4"/>
      <c r="M74" s="4"/>
      <c r="N74" s="4"/>
      <c r="O74" s="4"/>
      <c r="P74" s="4"/>
      <c r="Q74" s="4"/>
      <c r="R74" s="4"/>
      <c r="S74" s="4"/>
      <c r="T74" s="4"/>
      <c r="U74" s="15">
        <f t="shared" ref="U74:Z74" si="86">SUM(U20:U73)</f>
        <v>8.4206350427654133</v>
      </c>
      <c r="V74" s="15">
        <f t="shared" si="86"/>
        <v>20.320231016728787</v>
      </c>
      <c r="W74" s="15">
        <f t="shared" si="86"/>
        <v>0</v>
      </c>
      <c r="X74" s="15">
        <f t="shared" si="86"/>
        <v>22.918683245129827</v>
      </c>
      <c r="Y74" s="15">
        <f t="shared" si="86"/>
        <v>46.531872043142378</v>
      </c>
      <c r="Z74" s="15">
        <f t="shared" si="86"/>
        <v>0</v>
      </c>
      <c r="AA74" s="16" t="s">
        <v>302</v>
      </c>
    </row>
    <row r="75" spans="1:27" s="8" customFormat="1" x14ac:dyDescent="0.2">
      <c r="A75" s="13" t="s">
        <v>130</v>
      </c>
      <c r="B75" s="13"/>
      <c r="C75" s="13"/>
      <c r="D75" s="13"/>
      <c r="E75" s="27"/>
      <c r="F75" s="28"/>
      <c r="G75" s="34"/>
      <c r="H75" s="179"/>
      <c r="I75" s="13"/>
      <c r="J75" s="13"/>
      <c r="K75" s="13"/>
      <c r="L75" s="13"/>
      <c r="M75" s="13"/>
      <c r="N75" s="13"/>
      <c r="O75" s="13"/>
      <c r="P75" s="13"/>
      <c r="Q75" s="13"/>
      <c r="R75" s="13"/>
      <c r="S75" s="13"/>
      <c r="T75" s="13"/>
      <c r="U75" s="15">
        <f>U74 - (U74/$Z76)*Soybeans!$J25</f>
        <v>8.4206350427654133</v>
      </c>
      <c r="V75" s="15">
        <f>V74 - (V74/$Z76)*Soybeans!$J25</f>
        <v>20.320231016728787</v>
      </c>
      <c r="W75" s="15">
        <f>W74 - (W74/$Z76)*Soybeans!$J25</f>
        <v>0</v>
      </c>
      <c r="X75" s="15">
        <f>X74 - (X74/$Z76)*Soybeans!$J25</f>
        <v>22.918683245129827</v>
      </c>
      <c r="Y75" s="15">
        <f>Y74 - (Y74/$Z76)*Soybeans!$J25</f>
        <v>46.531872043142378</v>
      </c>
      <c r="Z75" s="15">
        <f>Soybeans!J25</f>
        <v>0</v>
      </c>
    </row>
    <row r="76" spans="1:27" x14ac:dyDescent="0.2">
      <c r="Z76" s="7">
        <f>SUM(U74:Z74)</f>
        <v>98.191421347766408</v>
      </c>
    </row>
    <row r="77" spans="1:27" x14ac:dyDescent="0.2">
      <c r="Z77" s="7">
        <f>SUM(U75:Z75)</f>
        <v>98.191421347766408</v>
      </c>
    </row>
    <row r="78" spans="1:27" x14ac:dyDescent="0.2">
      <c r="Z78" s="7"/>
    </row>
    <row r="79" spans="1:27" x14ac:dyDescent="0.2">
      <c r="A79" s="699" t="s">
        <v>102</v>
      </c>
      <c r="B79" s="700"/>
      <c r="C79" s="700"/>
      <c r="D79" s="700"/>
      <c r="E79" s="667"/>
      <c r="F79" s="4"/>
      <c r="G79" s="4"/>
      <c r="H79" s="9"/>
      <c r="I79" s="40">
        <f>IF(G51&gt;0,G51,Trucking!H50*Soybeans!E6)</f>
        <v>8.1733496956745029</v>
      </c>
      <c r="J79" s="40"/>
      <c r="K79" s="40"/>
      <c r="L79" s="131">
        <f>((Soybeans!E6*Trucking!B50*2)*(1+Trucking!C4))/(Trucking!C3*Trucking!C2)</f>
        <v>0.48815789473684212</v>
      </c>
      <c r="M79" s="40">
        <f>L51*Trucking!C9</f>
        <v>1.0104868421052631</v>
      </c>
      <c r="N79" s="40"/>
      <c r="O79" s="301">
        <f>Soybeans!E6*((((B8*2)/Trucking!C7) + (Trucking!C5/60)))/Trucking!C2</f>
        <v>0.11777777777777777</v>
      </c>
      <c r="P79" s="40">
        <f>O51*B$4*(1-B$7)+O51*B$6*(B$7)</f>
        <v>1.7666666666666666</v>
      </c>
      <c r="Q79" s="40"/>
      <c r="R79" s="40"/>
      <c r="S79" s="40"/>
      <c r="T79" s="40"/>
      <c r="U79" s="40">
        <f>IF(U$15="Increase",IF(F51="y",0,IF($B8&gt;0,M51*(1+U$16),0)),IF(F51="y",0,IF($B8&gt;0,M51*(1-U$16),0)))</f>
        <v>1.0104868421052631</v>
      </c>
      <c r="V79" s="40">
        <f>IF(V$15="Increase",IF(F51="y",0,IF($B8&gt;0,(O51*B$4*(1-B$7)*(1+V$16)),0)),IF(F51="y",0,IF($B8&gt;0,(O51*B$4*(1-B$7)*(1-V$16)),0)))</f>
        <v>1.7666666666666666</v>
      </c>
      <c r="W79" s="40">
        <f>IF(W$15="Increase",IF(F51="y",0,IF($B8&gt;0,(O51*B$6*(B$7)*(1+W$16)),0)),IF(F51="y",0,IF($B8&gt;0,(O51*B$6*(B$7)*(1-W$16)),0)))</f>
        <v>0</v>
      </c>
      <c r="X79" s="40">
        <f>IF(X$15="Increase",IF(F51="y",0,IF($B8&gt;0,R51*(1+X$16),0)),IF(F51="y",0,IF($B8&gt;0,R51*(1-X$16),0)))</f>
        <v>1.7807447416778492</v>
      </c>
      <c r="Y79" s="40">
        <f>IF(Y$15="Increase",IF(F51="y",0,IF($B8&gt;0,S51*(1+Y$16),0)),IF(F51="y",0,IF($B8&gt;0,S51*(1-Y$16),0)))</f>
        <v>3.6154514452247239</v>
      </c>
      <c r="Z79" s="40">
        <f>IF(Soybeans!C76=Soybeans!C74,0,IF(Z$15="Increase",IF(F51="y",I51*(1+Z$16),0),IF(F51="y",I51*(1-Z$16),0)))</f>
        <v>0</v>
      </c>
      <c r="AA79" s="2">
        <f>SUM(U79:Z79)</f>
        <v>8.1733496956745029</v>
      </c>
    </row>
  </sheetData>
  <mergeCells count="19">
    <mergeCell ref="H9:Z9"/>
    <mergeCell ref="H10:Z10"/>
    <mergeCell ref="A1:Z1"/>
    <mergeCell ref="H14:T16"/>
    <mergeCell ref="A9:G9"/>
    <mergeCell ref="A10:G10"/>
    <mergeCell ref="D2:Z2"/>
    <mergeCell ref="D3:Z3"/>
    <mergeCell ref="D4:Z4"/>
    <mergeCell ref="D5:Z5"/>
    <mergeCell ref="D6:Z6"/>
    <mergeCell ref="D7:Z7"/>
    <mergeCell ref="D8:Z8"/>
    <mergeCell ref="A79:E79"/>
    <mergeCell ref="A51:E51"/>
    <mergeCell ref="H12:Z12"/>
    <mergeCell ref="U14:Z14"/>
    <mergeCell ref="H11:Z11"/>
    <mergeCell ref="A11:G11"/>
  </mergeCells>
  <phoneticPr fontId="0" type="noConversion"/>
  <dataValidations count="1">
    <dataValidation type="list" allowBlank="1" showInputMessage="1" showErrorMessage="1" sqref="U15:Y15">
      <formula1>$U$82:$U$83</formula1>
    </dataValidation>
  </dataValidations>
  <pageMargins left="0.75" right="0.75" top="1" bottom="1" header="0.5" footer="0.5"/>
  <pageSetup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2"/>
  <sheetViews>
    <sheetView showGridLines="0" workbookViewId="0">
      <selection activeCell="I19" sqref="I19"/>
    </sheetView>
  </sheetViews>
  <sheetFormatPr defaultRowHeight="12.75" x14ac:dyDescent="0.2"/>
  <cols>
    <col min="1" max="2" width="3.7109375" customWidth="1"/>
    <col min="3" max="6" width="10.7109375" customWidth="1"/>
    <col min="7" max="7" width="20.7109375" customWidth="1"/>
    <col min="8" max="8" width="3.7109375" customWidth="1"/>
  </cols>
  <sheetData>
    <row r="2" spans="2:9" ht="15.75" x14ac:dyDescent="0.25">
      <c r="B2" s="767" t="str">
        <f>Soybeans!B2</f>
        <v>No-Till Soybeans, Per Acre Costs and Returns</v>
      </c>
      <c r="C2" s="768"/>
      <c r="D2" s="768"/>
      <c r="E2" s="768"/>
      <c r="F2" s="768"/>
      <c r="G2" s="768"/>
    </row>
    <row r="3" spans="2:9" ht="5.0999999999999996" customHeight="1" x14ac:dyDescent="0.2">
      <c r="B3" s="906"/>
      <c r="C3" s="907"/>
      <c r="D3" s="907"/>
      <c r="E3" s="907"/>
      <c r="F3" s="907"/>
      <c r="G3" s="908"/>
    </row>
    <row r="4" spans="2:9" ht="12.95" customHeight="1" x14ac:dyDescent="0.2">
      <c r="B4" s="862" t="s">
        <v>54</v>
      </c>
      <c r="C4" s="863"/>
      <c r="D4" s="863"/>
      <c r="E4" s="863"/>
      <c r="F4" s="864"/>
      <c r="G4" s="149" t="s">
        <v>5</v>
      </c>
    </row>
    <row r="5" spans="2:9" ht="12.95" customHeight="1" x14ac:dyDescent="0.2">
      <c r="B5" s="4"/>
      <c r="C5" s="316" t="s">
        <v>23</v>
      </c>
      <c r="D5" s="108">
        <f>Soybeans!E6</f>
        <v>53</v>
      </c>
      <c r="E5" s="107" t="str">
        <f>Soybeans!F6</f>
        <v>bu</v>
      </c>
      <c r="F5" s="133">
        <f>Soybeans!G6</f>
        <v>9.8000000000000007</v>
      </c>
      <c r="G5" s="5">
        <f>Soybeans!J6</f>
        <v>519.40000000000009</v>
      </c>
      <c r="I5" s="16"/>
    </row>
    <row r="6" spans="2:9" ht="12.95" customHeight="1" x14ac:dyDescent="0.2">
      <c r="B6" s="4"/>
      <c r="C6" s="909" t="s">
        <v>168</v>
      </c>
      <c r="D6" s="910"/>
      <c r="E6" s="910"/>
      <c r="F6" s="911"/>
      <c r="G6" s="5">
        <f>Soybeans!J7</f>
        <v>0</v>
      </c>
    </row>
    <row r="7" spans="2:9" ht="12.95" customHeight="1" x14ac:dyDescent="0.2">
      <c r="B7" s="4"/>
      <c r="C7" s="909" t="s">
        <v>167</v>
      </c>
      <c r="D7" s="910"/>
      <c r="E7" s="910"/>
      <c r="F7" s="911"/>
      <c r="G7" s="22">
        <f>Soybeans!J8</f>
        <v>5</v>
      </c>
    </row>
    <row r="8" spans="2:9" ht="12.95" customHeight="1" x14ac:dyDescent="0.2">
      <c r="B8" s="862" t="s">
        <v>74</v>
      </c>
      <c r="C8" s="863"/>
      <c r="D8" s="863"/>
      <c r="E8" s="863"/>
      <c r="F8" s="864"/>
      <c r="G8" s="35">
        <f>SUM(G5:G7)</f>
        <v>524.40000000000009</v>
      </c>
      <c r="I8" s="86"/>
    </row>
    <row r="9" spans="2:9" ht="5.0999999999999996" customHeight="1" x14ac:dyDescent="0.2">
      <c r="B9" s="906"/>
      <c r="C9" s="907"/>
      <c r="D9" s="907"/>
      <c r="E9" s="907"/>
      <c r="F9" s="907"/>
      <c r="G9" s="908"/>
    </row>
    <row r="10" spans="2:9" ht="12.95" customHeight="1" x14ac:dyDescent="0.2">
      <c r="B10" s="862" t="s">
        <v>56</v>
      </c>
      <c r="C10" s="863"/>
      <c r="D10" s="863"/>
      <c r="E10" s="863"/>
      <c r="F10" s="864"/>
      <c r="G10" s="160" t="s">
        <v>5</v>
      </c>
    </row>
    <row r="11" spans="2:9" ht="12.95" customHeight="1" x14ac:dyDescent="0.2">
      <c r="B11" s="4"/>
      <c r="C11" s="901" t="s">
        <v>57</v>
      </c>
      <c r="D11" s="902"/>
      <c r="E11" s="902"/>
      <c r="F11" s="903"/>
      <c r="G11" s="5">
        <f>Soybeans!J12</f>
        <v>55</v>
      </c>
      <c r="I11" s="86"/>
    </row>
    <row r="12" spans="2:9" ht="12.95" customHeight="1" x14ac:dyDescent="0.2">
      <c r="B12" s="4"/>
      <c r="C12" s="901" t="s">
        <v>333</v>
      </c>
      <c r="D12" s="902"/>
      <c r="E12" s="902"/>
      <c r="F12" s="903"/>
      <c r="G12" s="5">
        <f>SUM(Soybeans!J13:J17)</f>
        <v>39.5</v>
      </c>
      <c r="I12" s="86" t="s">
        <v>356</v>
      </c>
    </row>
    <row r="13" spans="2:9" ht="12.95" customHeight="1" x14ac:dyDescent="0.2">
      <c r="B13" s="4"/>
      <c r="C13" s="901" t="s">
        <v>334</v>
      </c>
      <c r="D13" s="902"/>
      <c r="E13" s="902"/>
      <c r="F13" s="903"/>
      <c r="G13" s="5">
        <f>SUM(Soybeans!J18:J20)</f>
        <v>60</v>
      </c>
    </row>
    <row r="14" spans="2:9" ht="12.95" customHeight="1" x14ac:dyDescent="0.2">
      <c r="B14" s="4"/>
      <c r="C14" s="901" t="s">
        <v>335</v>
      </c>
      <c r="D14" s="902"/>
      <c r="E14" s="902"/>
      <c r="F14" s="903"/>
      <c r="G14" s="5">
        <f>SUM(Soybeans!J21:J22,Soybeans!J25,Soybeans!J28)</f>
        <v>31.339318287895239</v>
      </c>
      <c r="I14" s="86" t="s">
        <v>354</v>
      </c>
    </row>
    <row r="15" spans="2:9" ht="12.95" customHeight="1" x14ac:dyDescent="0.2">
      <c r="B15" s="4"/>
      <c r="C15" s="901" t="s">
        <v>336</v>
      </c>
      <c r="D15" s="902"/>
      <c r="E15" s="902"/>
      <c r="F15" s="903"/>
      <c r="G15" s="5">
        <f>SUM(Soybeans!J23:J24)</f>
        <v>20.320231016728787</v>
      </c>
      <c r="I15" s="86" t="s">
        <v>355</v>
      </c>
    </row>
    <row r="16" spans="2:9" ht="12.95" customHeight="1" x14ac:dyDescent="0.2">
      <c r="B16" s="4"/>
      <c r="C16" s="772" t="s">
        <v>291</v>
      </c>
      <c r="D16" s="773"/>
      <c r="E16" s="773"/>
      <c r="F16" s="900"/>
      <c r="G16" s="5">
        <f>SUM(Soybeans!J26:J27)</f>
        <v>0</v>
      </c>
    </row>
    <row r="17" spans="2:7" ht="12.95" customHeight="1" x14ac:dyDescent="0.2">
      <c r="B17" s="4"/>
      <c r="C17" s="772" t="s">
        <v>158</v>
      </c>
      <c r="D17" s="773"/>
      <c r="E17" s="773"/>
      <c r="F17" s="774"/>
      <c r="G17" s="5">
        <f>Soybeans!J29</f>
        <v>0</v>
      </c>
    </row>
    <row r="18" spans="2:7" ht="12.95" customHeight="1" x14ac:dyDescent="0.2">
      <c r="B18" s="4"/>
      <c r="C18" s="901" t="s">
        <v>224</v>
      </c>
      <c r="D18" s="902"/>
      <c r="E18" s="902"/>
      <c r="F18" s="903"/>
      <c r="G18" s="21">
        <f>Soybeans!J30</f>
        <v>1.0600000000000003</v>
      </c>
    </row>
    <row r="19" spans="2:7" ht="12.95" customHeight="1" x14ac:dyDescent="0.2">
      <c r="B19" s="4"/>
      <c r="C19" s="901" t="s">
        <v>337</v>
      </c>
      <c r="D19" s="902"/>
      <c r="E19" s="902"/>
      <c r="F19" s="903"/>
      <c r="G19" s="21">
        <f>Soybeans!J31</f>
        <v>15</v>
      </c>
    </row>
    <row r="20" spans="2:7" ht="12.95" customHeight="1" x14ac:dyDescent="0.2">
      <c r="B20" s="4"/>
      <c r="C20" s="901" t="s">
        <v>251</v>
      </c>
      <c r="D20" s="902"/>
      <c r="E20" s="902"/>
      <c r="F20" s="903"/>
      <c r="G20" s="21">
        <f>Soybeans!J32</f>
        <v>140</v>
      </c>
    </row>
    <row r="21" spans="2:7" ht="12.95" customHeight="1" x14ac:dyDescent="0.2">
      <c r="B21" s="4"/>
      <c r="C21" s="901" t="s">
        <v>349</v>
      </c>
      <c r="D21" s="902"/>
      <c r="E21" s="902"/>
      <c r="F21" s="903"/>
      <c r="G21" s="21">
        <f>Soybeans!J33</f>
        <v>0</v>
      </c>
    </row>
    <row r="22" spans="2:7" ht="12.95" customHeight="1" x14ac:dyDescent="0.2">
      <c r="B22" s="4"/>
      <c r="C22" s="901" t="s">
        <v>160</v>
      </c>
      <c r="D22" s="902"/>
      <c r="E22" s="902"/>
      <c r="F22" s="903"/>
      <c r="G22" s="21">
        <f>Soybeans!J34</f>
        <v>10</v>
      </c>
    </row>
    <row r="23" spans="2:7" ht="12.95" customHeight="1" x14ac:dyDescent="0.2">
      <c r="B23" s="4"/>
      <c r="C23" s="901" t="s">
        <v>61</v>
      </c>
      <c r="D23" s="902"/>
      <c r="E23" s="902"/>
      <c r="F23" s="903"/>
      <c r="G23" s="96">
        <f>Soybeans!J35</f>
        <v>10.512827617250228</v>
      </c>
    </row>
    <row r="24" spans="2:7" ht="12.95" customHeight="1" x14ac:dyDescent="0.2">
      <c r="B24" s="862" t="s">
        <v>63</v>
      </c>
      <c r="C24" s="863"/>
      <c r="D24" s="863"/>
      <c r="E24" s="863"/>
      <c r="F24" s="864"/>
      <c r="G24" s="35">
        <f>SUM(G11:G23)</f>
        <v>382.73237692187428</v>
      </c>
    </row>
    <row r="25" spans="2:7" ht="5.0999999999999996" customHeight="1" x14ac:dyDescent="0.2">
      <c r="B25" s="906"/>
      <c r="C25" s="907"/>
      <c r="D25" s="907"/>
      <c r="E25" s="907"/>
      <c r="F25" s="907"/>
      <c r="G25" s="908"/>
    </row>
    <row r="26" spans="2:7" ht="15.75" x14ac:dyDescent="0.25">
      <c r="B26" s="904" t="s">
        <v>64</v>
      </c>
      <c r="C26" s="905"/>
      <c r="D26" s="905"/>
      <c r="E26" s="905"/>
      <c r="F26" s="905"/>
      <c r="G26" s="201">
        <f>G8-G24</f>
        <v>141.66762307812581</v>
      </c>
    </row>
    <row r="27" spans="2:7" ht="12.95" customHeight="1" x14ac:dyDescent="0.2">
      <c r="B27" s="906"/>
      <c r="C27" s="907"/>
      <c r="D27" s="907"/>
      <c r="E27" s="907"/>
      <c r="F27" s="907"/>
      <c r="G27" s="908"/>
    </row>
    <row r="28" spans="2:7" ht="12.95" customHeight="1" x14ac:dyDescent="0.2">
      <c r="B28" s="862" t="s">
        <v>65</v>
      </c>
      <c r="C28" s="863"/>
      <c r="D28" s="863"/>
      <c r="E28" s="863"/>
      <c r="F28" s="864"/>
      <c r="G28" s="160" t="s">
        <v>5</v>
      </c>
    </row>
    <row r="29" spans="2:7" ht="12.95" customHeight="1" x14ac:dyDescent="0.2">
      <c r="B29" s="4"/>
      <c r="C29" s="898" t="s">
        <v>338</v>
      </c>
      <c r="D29" s="899"/>
      <c r="E29" s="899"/>
      <c r="F29" s="900"/>
      <c r="G29" s="21">
        <f>Soybeans!J41</f>
        <v>0</v>
      </c>
    </row>
    <row r="30" spans="2:7" ht="12.95" customHeight="1" x14ac:dyDescent="0.2">
      <c r="B30" s="4"/>
      <c r="C30" s="772" t="s">
        <v>339</v>
      </c>
      <c r="D30" s="773"/>
      <c r="E30" s="773"/>
      <c r="F30" s="900"/>
      <c r="G30" s="21">
        <f>Soybeans!J42</f>
        <v>46.531872043142378</v>
      </c>
    </row>
    <row r="31" spans="2:7" ht="12.95" customHeight="1" x14ac:dyDescent="0.2">
      <c r="B31" s="4"/>
      <c r="C31" s="901" t="s">
        <v>159</v>
      </c>
      <c r="D31" s="902"/>
      <c r="E31" s="902"/>
      <c r="F31" s="903"/>
      <c r="G31" s="22">
        <f>SUM(Soybeans!J43:J44)</f>
        <v>15</v>
      </c>
    </row>
    <row r="32" spans="2:7" ht="15.75" x14ac:dyDescent="0.25">
      <c r="B32" s="904" t="s">
        <v>66</v>
      </c>
      <c r="C32" s="905"/>
      <c r="D32" s="905"/>
      <c r="E32" s="905"/>
      <c r="F32" s="905"/>
      <c r="G32" s="201">
        <f>G26-(SUM(G29:G31))</f>
        <v>80.135751034983429</v>
      </c>
    </row>
    <row r="33" spans="2:11" ht="12.95" customHeight="1" x14ac:dyDescent="0.2">
      <c r="B33" s="906"/>
      <c r="C33" s="907"/>
      <c r="D33" s="907"/>
      <c r="E33" s="907"/>
      <c r="F33" s="907"/>
      <c r="G33" s="908"/>
    </row>
    <row r="34" spans="2:11" ht="15.75" x14ac:dyDescent="0.25">
      <c r="B34" s="775" t="str">
        <f>"Breakeven Yield at " &amp; TEXT(Soybeans!G6,"$0.00") &amp;" /bushel"</f>
        <v>Breakeven Yield at $9.80 /bushel</v>
      </c>
      <c r="C34" s="776"/>
      <c r="D34" s="776"/>
      <c r="E34" s="776"/>
      <c r="F34" s="777"/>
      <c r="G34" s="202">
        <f>Soybeans!E47</f>
        <v>39.054324175701453</v>
      </c>
      <c r="I34" s="148" t="s">
        <v>340</v>
      </c>
      <c r="J34" s="87"/>
      <c r="K34" s="87"/>
    </row>
    <row r="35" spans="2:11" ht="15.75" x14ac:dyDescent="0.25">
      <c r="B35" s="775" t="str">
        <f>"Breakeven Cost at " &amp; ROUND(Soybeans!E6,0) &amp;" bu/acre"</f>
        <v>Breakeven Cost at 53 bu/acre</v>
      </c>
      <c r="C35" s="776"/>
      <c r="D35" s="776"/>
      <c r="E35" s="776"/>
      <c r="F35" s="777"/>
      <c r="G35" s="203">
        <f>Soybeans!E48</f>
        <v>7.2213656022995147</v>
      </c>
      <c r="I35" s="148" t="s">
        <v>341</v>
      </c>
      <c r="J35" s="87"/>
      <c r="K35" s="87"/>
    </row>
    <row r="36" spans="2:11" ht="15.75" x14ac:dyDescent="0.25">
      <c r="B36" s="775" t="str">
        <f>"Breakeven Cost at " &amp; ROUND(Soybeans!E6,0) &amp;" bu/acre"</f>
        <v>Breakeven Cost at 53 bu/acre</v>
      </c>
      <c r="C36" s="776"/>
      <c r="D36" s="776"/>
      <c r="E36" s="776"/>
      <c r="F36" s="777"/>
      <c r="G36" s="203">
        <f>Soybeans!E49</f>
        <v>8.3823443200946528</v>
      </c>
      <c r="I36" s="148" t="s">
        <v>342</v>
      </c>
      <c r="J36" s="87"/>
      <c r="K36" s="87"/>
    </row>
    <row r="37" spans="2:11" x14ac:dyDescent="0.2">
      <c r="B37" s="781"/>
      <c r="C37" s="781"/>
      <c r="D37" s="781"/>
      <c r="E37" s="781"/>
      <c r="F37" s="781"/>
      <c r="G37" s="781"/>
    </row>
    <row r="38" spans="2:11" ht="12.75" customHeight="1" x14ac:dyDescent="0.2">
      <c r="B38" s="782"/>
      <c r="C38" s="782"/>
      <c r="D38" s="782"/>
      <c r="E38" s="782"/>
      <c r="F38" s="782"/>
      <c r="G38" s="782"/>
      <c r="H38" s="782"/>
      <c r="I38" s="782"/>
    </row>
    <row r="39" spans="2:11" ht="12.75" customHeight="1" x14ac:dyDescent="0.2">
      <c r="B39" s="780"/>
      <c r="C39" s="781"/>
      <c r="D39" s="781"/>
      <c r="E39" s="781"/>
      <c r="F39" s="781"/>
      <c r="G39" s="781"/>
      <c r="H39" s="781"/>
      <c r="I39" s="781"/>
    </row>
    <row r="40" spans="2:11" ht="12.75" customHeight="1" x14ac:dyDescent="0.2">
      <c r="B40" s="780"/>
      <c r="C40" s="781"/>
      <c r="D40" s="781"/>
      <c r="E40" s="781"/>
      <c r="F40" s="781"/>
      <c r="G40" s="781"/>
      <c r="H40" s="781"/>
      <c r="I40" s="781"/>
    </row>
    <row r="41" spans="2:11" ht="12.75" customHeight="1" x14ac:dyDescent="0.2">
      <c r="B41" s="780"/>
      <c r="C41" s="781"/>
      <c r="D41" s="781"/>
      <c r="E41" s="781"/>
      <c r="F41" s="781"/>
      <c r="G41" s="781"/>
      <c r="H41" s="781"/>
      <c r="I41" s="781"/>
    </row>
    <row r="42" spans="2:11" ht="14.25" x14ac:dyDescent="0.2">
      <c r="B42" s="780"/>
      <c r="C42" s="781"/>
      <c r="D42" s="781"/>
      <c r="E42" s="781"/>
      <c r="F42" s="781"/>
      <c r="G42" s="781"/>
    </row>
  </sheetData>
  <mergeCells count="40">
    <mergeCell ref="B2:G2"/>
    <mergeCell ref="B3:G3"/>
    <mergeCell ref="B4:F4"/>
    <mergeCell ref="C6:F6"/>
    <mergeCell ref="C7:F7"/>
    <mergeCell ref="B8:F8"/>
    <mergeCell ref="B9:G9"/>
    <mergeCell ref="C13:F13"/>
    <mergeCell ref="C14:F14"/>
    <mergeCell ref="C15:F15"/>
    <mergeCell ref="C16:F16"/>
    <mergeCell ref="B10:F10"/>
    <mergeCell ref="C11:F11"/>
    <mergeCell ref="C12:F12"/>
    <mergeCell ref="B25:G25"/>
    <mergeCell ref="C17:F17"/>
    <mergeCell ref="B26:F26"/>
    <mergeCell ref="B27:G27"/>
    <mergeCell ref="B28:F28"/>
    <mergeCell ref="C18:F18"/>
    <mergeCell ref="C19:F19"/>
    <mergeCell ref="C20:F20"/>
    <mergeCell ref="C22:F22"/>
    <mergeCell ref="C23:F23"/>
    <mergeCell ref="C21:F21"/>
    <mergeCell ref="B24:F24"/>
    <mergeCell ref="B42:G42"/>
    <mergeCell ref="B38:I38"/>
    <mergeCell ref="B39:I39"/>
    <mergeCell ref="B40:I40"/>
    <mergeCell ref="B41:I41"/>
    <mergeCell ref="B37:G37"/>
    <mergeCell ref="B34:F34"/>
    <mergeCell ref="B35:F35"/>
    <mergeCell ref="B36:F36"/>
    <mergeCell ref="C29:F29"/>
    <mergeCell ref="C30:F30"/>
    <mergeCell ref="C31:F31"/>
    <mergeCell ref="B32:F32"/>
    <mergeCell ref="B33:G33"/>
  </mergeCells>
  <dataValidations count="1">
    <dataValidation type="list" allowBlank="1" showInputMessage="1" showErrorMessage="1" sqref="F20:F21 F18">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77" id="{9F3B149A-3A08-4C78-BC30-77E0AE71ACAC}">
            <xm:f>Soybeans!$C$76=Soybeans!$C$73</xm:f>
            <x14:dxf>
              <font>
                <color theme="0"/>
              </font>
            </x14:dxf>
          </x14:cfRule>
          <xm:sqref>C16:G16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showGridLines="0" zoomScale="122" workbookViewId="0">
      <selection activeCell="B1" sqref="B1"/>
    </sheetView>
  </sheetViews>
  <sheetFormatPr defaultRowHeight="12.75" x14ac:dyDescent="0.2"/>
  <cols>
    <col min="1" max="1" width="3.7109375" style="340" customWidth="1"/>
    <col min="2" max="2" width="129" style="522" customWidth="1"/>
    <col min="3" max="16384" width="9.140625" style="340"/>
  </cols>
  <sheetData>
    <row r="1" spans="2:5" ht="10.15" customHeight="1" x14ac:dyDescent="0.2">
      <c r="B1" s="523"/>
    </row>
    <row r="2" spans="2:5" ht="28.9" customHeight="1" x14ac:dyDescent="0.2">
      <c r="B2" s="524" t="str">
        <f>Cover!B2</f>
        <v>Specialty Corn Budgets 2021</v>
      </c>
    </row>
    <row r="3" spans="2:5" ht="17.100000000000001" customHeight="1" x14ac:dyDescent="0.2">
      <c r="B3" s="525" t="s">
        <v>438</v>
      </c>
    </row>
    <row r="4" spans="2:5" ht="17.100000000000001" customHeight="1" x14ac:dyDescent="0.2">
      <c r="B4" s="525" t="s">
        <v>437</v>
      </c>
    </row>
    <row r="5" spans="2:5" ht="40.5" customHeight="1" x14ac:dyDescent="0.2">
      <c r="B5" s="525" t="s">
        <v>414</v>
      </c>
    </row>
    <row r="6" spans="2:5" ht="17.45" customHeight="1" x14ac:dyDescent="0.2">
      <c r="B6" s="521" t="s">
        <v>135</v>
      </c>
    </row>
    <row r="7" spans="2:5" ht="93.75" customHeight="1" x14ac:dyDescent="0.2">
      <c r="B7" s="526" t="s">
        <v>439</v>
      </c>
    </row>
    <row r="8" spans="2:5" ht="108.75" customHeight="1" x14ac:dyDescent="0.2">
      <c r="B8" s="526" t="s">
        <v>463</v>
      </c>
      <c r="E8" s="522"/>
    </row>
    <row r="9" spans="2:5" ht="40.5" customHeight="1" x14ac:dyDescent="0.2">
      <c r="B9" s="526" t="s">
        <v>464</v>
      </c>
    </row>
    <row r="10" spans="2:5" ht="28.5" customHeight="1" x14ac:dyDescent="0.2">
      <c r="B10" s="526" t="s">
        <v>465</v>
      </c>
    </row>
    <row r="11" spans="2:5" x14ac:dyDescent="0.2">
      <c r="B11" s="527"/>
    </row>
    <row r="12" spans="2:5" x14ac:dyDescent="0.2">
      <c r="B12" s="527"/>
    </row>
    <row r="13" spans="2:5" x14ac:dyDescent="0.2">
      <c r="B13" s="528"/>
    </row>
  </sheetData>
  <sheetProtection algorithmName="SHA-512" hashValue="p0Xi3JkVgskTkw5G50dRSLI5LwH52zKl0ufdupJ/n8XLYlDHhpK73CCBci/e3B0u7FEsDTyDR4IUrViFajpG7w==" saltValue="aYlj0AYSQoTUQI6TDSiYIA==" spinCount="100000" sheet="1" objects="1" scenarios="1" formatCells="0" formatColumns="0" formatRows="0"/>
  <phoneticPr fontId="6"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I10" sqref="I10"/>
    </sheetView>
  </sheetViews>
  <sheetFormatPr defaultRowHeight="12.75" x14ac:dyDescent="0.2"/>
  <sheetData>
    <row r="2" spans="2:9" ht="51" x14ac:dyDescent="0.2">
      <c r="B2" s="292" t="str">
        <f>"Corn Yield at "&amp;TEXT(GMO!G6,"$0.00")&amp;"/bu"</f>
        <v>Corn Yield at $3.75/bu</v>
      </c>
      <c r="C2" s="292" t="s">
        <v>403</v>
      </c>
      <c r="D2" s="296" t="s">
        <v>66</v>
      </c>
      <c r="E2" s="295" t="str">
        <f>"$/Bushel Yield of "&amp;GMO!E6&amp;" bu/acre"</f>
        <v>$/Bushel Yield of 170 bu/acre</v>
      </c>
      <c r="F2" s="292" t="s">
        <v>403</v>
      </c>
      <c r="G2" s="292" t="s">
        <v>66</v>
      </c>
    </row>
    <row r="3" spans="2:9" x14ac:dyDescent="0.2">
      <c r="B3" s="207">
        <v>190</v>
      </c>
      <c r="C3" s="207"/>
      <c r="D3" s="298"/>
      <c r="E3" s="297">
        <v>4</v>
      </c>
      <c r="F3" s="207"/>
      <c r="G3" s="4"/>
      <c r="I3" s="16" t="s">
        <v>408</v>
      </c>
    </row>
    <row r="4" spans="2:9" x14ac:dyDescent="0.2">
      <c r="B4" s="207">
        <v>180</v>
      </c>
      <c r="C4" s="207"/>
      <c r="D4" s="298"/>
      <c r="E4" s="297">
        <v>3.8</v>
      </c>
      <c r="F4" s="207"/>
      <c r="G4" s="4"/>
      <c r="I4" s="16" t="s">
        <v>409</v>
      </c>
    </row>
    <row r="5" spans="2:9" x14ac:dyDescent="0.2">
      <c r="B5" s="293">
        <v>170</v>
      </c>
      <c r="C5" s="293"/>
      <c r="D5" s="300"/>
      <c r="E5" s="299">
        <v>3.6</v>
      </c>
      <c r="F5" s="293"/>
      <c r="G5" s="294"/>
      <c r="I5" s="16" t="s">
        <v>410</v>
      </c>
    </row>
    <row r="6" spans="2:9" x14ac:dyDescent="0.2">
      <c r="B6" s="207">
        <v>160</v>
      </c>
      <c r="C6" s="207"/>
      <c r="D6" s="298"/>
      <c r="E6" s="297">
        <v>3.4</v>
      </c>
      <c r="F6" s="207"/>
      <c r="G6" s="4"/>
      <c r="I6" s="16" t="s">
        <v>224</v>
      </c>
    </row>
    <row r="7" spans="2:9" x14ac:dyDescent="0.2">
      <c r="B7" s="207">
        <v>150</v>
      </c>
      <c r="C7" s="207"/>
      <c r="D7" s="298"/>
      <c r="E7" s="297">
        <v>3.2</v>
      </c>
      <c r="F7" s="207"/>
      <c r="G7" s="4"/>
      <c r="I7" s="16" t="s">
        <v>411</v>
      </c>
    </row>
    <row r="8" spans="2:9" x14ac:dyDescent="0.2">
      <c r="I8" s="16" t="s">
        <v>412</v>
      </c>
    </row>
    <row r="9" spans="2:9" x14ac:dyDescent="0.2">
      <c r="I9" s="16" t="s">
        <v>413</v>
      </c>
    </row>
    <row r="12" spans="2:9" ht="51" x14ac:dyDescent="0.2">
      <c r="B12" s="292" t="str">
        <f>"Soybean Yield at "&amp;TEXT(Soybeans!G6,"$0.00")&amp;"/bu"</f>
        <v>Soybean Yield at $9.80/bu</v>
      </c>
      <c r="C12" s="292" t="s">
        <v>403</v>
      </c>
      <c r="D12" s="296" t="s">
        <v>66</v>
      </c>
      <c r="E12" s="295" t="str">
        <f>"$/Bushel Yield of "&amp;Soybeans!E6&amp;" bu/acre"</f>
        <v>$/Bushel Yield of 53 bu/acre</v>
      </c>
      <c r="F12" s="292" t="s">
        <v>403</v>
      </c>
      <c r="G12" s="292" t="s">
        <v>66</v>
      </c>
    </row>
    <row r="13" spans="2:9" x14ac:dyDescent="0.2">
      <c r="B13" s="207">
        <v>60</v>
      </c>
      <c r="C13" s="207"/>
      <c r="D13" s="298"/>
      <c r="E13" s="297">
        <v>10.199999999999999</v>
      </c>
      <c r="F13" s="207"/>
      <c r="G13" s="4"/>
    </row>
    <row r="14" spans="2:9" x14ac:dyDescent="0.2">
      <c r="B14" s="207">
        <v>55</v>
      </c>
      <c r="C14" s="207"/>
      <c r="D14" s="298"/>
      <c r="E14" s="297">
        <v>10</v>
      </c>
      <c r="F14" s="207"/>
      <c r="G14" s="4"/>
    </row>
    <row r="15" spans="2:9" x14ac:dyDescent="0.2">
      <c r="B15" s="293">
        <v>50</v>
      </c>
      <c r="C15" s="293"/>
      <c r="D15" s="300"/>
      <c r="E15" s="299">
        <v>9.8000000000000007</v>
      </c>
      <c r="F15" s="293"/>
      <c r="G15" s="294"/>
    </row>
    <row r="16" spans="2:9" x14ac:dyDescent="0.2">
      <c r="B16" s="207">
        <v>45</v>
      </c>
      <c r="C16" s="207"/>
      <c r="D16" s="298"/>
      <c r="E16" s="297">
        <v>9.6</v>
      </c>
      <c r="F16" s="207"/>
      <c r="G16" s="4"/>
    </row>
    <row r="17" spans="2:7" x14ac:dyDescent="0.2">
      <c r="B17" s="207">
        <v>40</v>
      </c>
      <c r="C17" s="207"/>
      <c r="D17" s="298"/>
      <c r="E17" s="297">
        <v>9.4</v>
      </c>
      <c r="F17" s="207"/>
      <c r="G17" s="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7"/>
  <sheetViews>
    <sheetView workbookViewId="0">
      <selection activeCell="B29" sqref="B29"/>
    </sheetView>
  </sheetViews>
  <sheetFormatPr defaultRowHeight="12.75" x14ac:dyDescent="0.2"/>
  <cols>
    <col min="1" max="1" width="16.42578125" customWidth="1"/>
    <col min="2" max="2" width="134.7109375" customWidth="1"/>
  </cols>
  <sheetData>
    <row r="3" spans="1:2" x14ac:dyDescent="0.2">
      <c r="A3" t="s">
        <v>378</v>
      </c>
    </row>
    <row r="4" spans="1:2" x14ac:dyDescent="0.2">
      <c r="B4" t="s">
        <v>415</v>
      </c>
    </row>
    <row r="5" spans="1:2" x14ac:dyDescent="0.2">
      <c r="B5" t="s">
        <v>379</v>
      </c>
    </row>
    <row r="6" spans="1:2" x14ac:dyDescent="0.2">
      <c r="B6" t="s">
        <v>380</v>
      </c>
    </row>
    <row r="8" spans="1:2" x14ac:dyDescent="0.2">
      <c r="B8" t="s">
        <v>381</v>
      </c>
    </row>
    <row r="10" spans="1:2" x14ac:dyDescent="0.2">
      <c r="B10" s="16" t="s">
        <v>416</v>
      </c>
    </row>
    <row r="11" spans="1:2" x14ac:dyDescent="0.2">
      <c r="B11" s="16"/>
    </row>
    <row r="12" spans="1:2" x14ac:dyDescent="0.2">
      <c r="B12" s="16" t="s">
        <v>417</v>
      </c>
    </row>
    <row r="15" spans="1:2" x14ac:dyDescent="0.2">
      <c r="A15" t="s">
        <v>382</v>
      </c>
    </row>
    <row r="16" spans="1:2" x14ac:dyDescent="0.2">
      <c r="B16" t="s">
        <v>385</v>
      </c>
    </row>
    <row r="17" spans="2:2" x14ac:dyDescent="0.2">
      <c r="B17" t="s">
        <v>383</v>
      </c>
    </row>
    <row r="18" spans="2:2" x14ac:dyDescent="0.2">
      <c r="B18" t="s">
        <v>384</v>
      </c>
    </row>
    <row r="20" spans="2:2" x14ac:dyDescent="0.2">
      <c r="B20" t="s">
        <v>422</v>
      </c>
    </row>
    <row r="22" spans="2:2" x14ac:dyDescent="0.2">
      <c r="B22" t="s">
        <v>425</v>
      </c>
    </row>
    <row r="23" spans="2:2" x14ac:dyDescent="0.2">
      <c r="B23" t="s">
        <v>419</v>
      </c>
    </row>
    <row r="24" spans="2:2" x14ac:dyDescent="0.2">
      <c r="B24" t="s">
        <v>423</v>
      </c>
    </row>
    <row r="25" spans="2:2" x14ac:dyDescent="0.2">
      <c r="B25" t="s">
        <v>420</v>
      </c>
    </row>
    <row r="26" spans="2:2" x14ac:dyDescent="0.2">
      <c r="B26" t="s">
        <v>424</v>
      </c>
    </row>
    <row r="27" spans="2:2" x14ac:dyDescent="0.2">
      <c r="B27" t="s">
        <v>421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A22" sqref="A22"/>
    </sheetView>
  </sheetViews>
  <sheetFormatPr defaultRowHeight="12.75" x14ac:dyDescent="0.2"/>
  <cols>
    <col min="1" max="1" width="13.5703125" customWidth="1"/>
  </cols>
  <sheetData>
    <row r="2" spans="1:1" ht="20.25" x14ac:dyDescent="0.3">
      <c r="A2" s="17" t="s">
        <v>48</v>
      </c>
    </row>
    <row r="3" spans="1:1" x14ac:dyDescent="0.2">
      <c r="A3" s="14"/>
    </row>
    <row r="4" spans="1:1" x14ac:dyDescent="0.2">
      <c r="A4" s="14" t="s">
        <v>84</v>
      </c>
    </row>
    <row r="5" spans="1:1" x14ac:dyDescent="0.2">
      <c r="A5" s="14"/>
    </row>
    <row r="6" spans="1:1" x14ac:dyDescent="0.2">
      <c r="A6" s="14" t="s">
        <v>78</v>
      </c>
    </row>
    <row r="7" spans="1:1" x14ac:dyDescent="0.2">
      <c r="A7" s="14"/>
    </row>
    <row r="8" spans="1:1" x14ac:dyDescent="0.2">
      <c r="A8" s="14" t="s">
        <v>95</v>
      </c>
    </row>
    <row r="9" spans="1:1" x14ac:dyDescent="0.2">
      <c r="A9" s="14"/>
    </row>
    <row r="10" spans="1:1" x14ac:dyDescent="0.2">
      <c r="A10" s="14"/>
    </row>
    <row r="11" spans="1:1" x14ac:dyDescent="0.2">
      <c r="A11" s="14"/>
    </row>
    <row r="12" spans="1:1" ht="20.25" x14ac:dyDescent="0.3">
      <c r="A12" s="17" t="s">
        <v>73</v>
      </c>
    </row>
    <row r="15" spans="1:1" x14ac:dyDescent="0.2">
      <c r="A15" s="14" t="s">
        <v>92</v>
      </c>
    </row>
    <row r="16" spans="1:1" x14ac:dyDescent="0.2">
      <c r="A16" s="14" t="s">
        <v>93</v>
      </c>
    </row>
    <row r="17" spans="1:2" x14ac:dyDescent="0.2">
      <c r="A17" s="14" t="s">
        <v>94</v>
      </c>
    </row>
    <row r="18" spans="1:2" x14ac:dyDescent="0.2">
      <c r="B18" s="2"/>
    </row>
    <row r="19" spans="1:2" x14ac:dyDescent="0.2">
      <c r="A19" s="14" t="s">
        <v>116</v>
      </c>
    </row>
    <row r="20" spans="1:2" x14ac:dyDescent="0.2">
      <c r="B20" s="2"/>
    </row>
    <row r="21" spans="1:2" x14ac:dyDescent="0.2">
      <c r="A21" s="14" t="s">
        <v>140</v>
      </c>
      <c r="B21" s="2"/>
    </row>
    <row r="22" spans="1:2" x14ac:dyDescent="0.2">
      <c r="B22" s="2"/>
    </row>
    <row r="23" spans="1:2" x14ac:dyDescent="0.2">
      <c r="B23" s="2"/>
    </row>
    <row r="24" spans="1:2" x14ac:dyDescent="0.2">
      <c r="B24" s="2"/>
    </row>
  </sheetData>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06"/>
  <sheetViews>
    <sheetView showGridLines="0" zoomScaleNormal="100" workbookViewId="0">
      <selection activeCell="M35" sqref="M35"/>
    </sheetView>
  </sheetViews>
  <sheetFormatPr defaultColWidth="9.140625" defaultRowHeight="12.75" x14ac:dyDescent="0.2"/>
  <cols>
    <col min="1" max="1" width="3.7109375" style="348" customWidth="1"/>
    <col min="2" max="2" width="4" style="348" customWidth="1"/>
    <col min="3" max="4" width="16.7109375" style="348" customWidth="1"/>
    <col min="5" max="5" width="8.7109375" style="348" customWidth="1"/>
    <col min="6" max="6" width="9.85546875" style="348" customWidth="1"/>
    <col min="7" max="7" width="8.7109375" style="348" customWidth="1"/>
    <col min="8" max="8" width="13.7109375" style="348" customWidth="1"/>
    <col min="9" max="9" width="5.7109375" style="348" customWidth="1"/>
    <col min="10" max="10" width="10.28515625" style="348" bestFit="1" customWidth="1"/>
    <col min="11" max="11" width="3.7109375" style="348" customWidth="1"/>
    <col min="12" max="12" width="5.7109375" style="348" customWidth="1"/>
    <col min="13" max="13" width="20.140625" style="349" customWidth="1"/>
    <col min="14" max="15" width="7.7109375" style="349" customWidth="1"/>
    <col min="16" max="18" width="7.7109375" style="348" customWidth="1"/>
    <col min="19" max="19" width="9.140625" style="348" customWidth="1"/>
    <col min="20" max="20" width="11.7109375" style="348" customWidth="1"/>
    <col min="21" max="21" width="7.140625" style="348" customWidth="1"/>
    <col min="22" max="16384" width="9.140625" style="348"/>
  </cols>
  <sheetData>
    <row r="2" spans="2:25" ht="15.75" x14ac:dyDescent="0.2">
      <c r="B2" s="591" t="str">
        <f>'Machinery(GMO)'!C16&amp;" GMO Corn, Per Acre Costs and Returns"</f>
        <v>No-Till GMO Corn, Per Acre Costs and Returns</v>
      </c>
      <c r="C2" s="592"/>
      <c r="D2" s="592"/>
      <c r="E2" s="592"/>
      <c r="F2" s="592"/>
      <c r="G2" s="592"/>
      <c r="H2" s="592"/>
      <c r="I2" s="592"/>
      <c r="J2" s="592"/>
      <c r="L2" s="348" t="s">
        <v>75</v>
      </c>
    </row>
    <row r="3" spans="2:25" ht="5.25" customHeight="1" x14ac:dyDescent="0.2">
      <c r="B3" s="578"/>
      <c r="C3" s="579"/>
      <c r="D3" s="579"/>
      <c r="E3" s="579"/>
      <c r="F3" s="579"/>
      <c r="G3" s="579"/>
      <c r="H3" s="579"/>
      <c r="I3" s="579"/>
      <c r="J3" s="580"/>
    </row>
    <row r="4" spans="2:25" s="350" customFormat="1" ht="12.95" customHeight="1" x14ac:dyDescent="0.2">
      <c r="B4" s="598"/>
      <c r="C4" s="599"/>
      <c r="D4" s="600"/>
      <c r="E4" s="143" t="s">
        <v>137</v>
      </c>
      <c r="F4" s="143" t="s">
        <v>52</v>
      </c>
      <c r="G4" s="143" t="s">
        <v>53</v>
      </c>
      <c r="H4" s="593"/>
      <c r="I4" s="594"/>
      <c r="J4" s="143" t="s">
        <v>5</v>
      </c>
    </row>
    <row r="5" spans="2:25" ht="12.95" customHeight="1" x14ac:dyDescent="0.2">
      <c r="B5" s="351" t="s">
        <v>54</v>
      </c>
      <c r="C5" s="351"/>
      <c r="D5" s="352"/>
      <c r="E5" s="572"/>
      <c r="F5" s="573"/>
      <c r="G5" s="573"/>
      <c r="H5" s="573"/>
      <c r="I5" s="573"/>
      <c r="J5" s="574"/>
    </row>
    <row r="6" spans="2:25" ht="12.95" customHeight="1" x14ac:dyDescent="0.2">
      <c r="B6" s="353"/>
      <c r="C6" s="543" t="s">
        <v>34</v>
      </c>
      <c r="D6" s="549"/>
      <c r="E6" s="233">
        <v>170</v>
      </c>
      <c r="F6" s="353" t="s">
        <v>55</v>
      </c>
      <c r="G6" s="234">
        <v>3.75</v>
      </c>
      <c r="H6" s="540"/>
      <c r="I6" s="540"/>
      <c r="J6" s="355">
        <f>E6*G6</f>
        <v>637.5</v>
      </c>
    </row>
    <row r="7" spans="2:25" ht="12.95" customHeight="1" x14ac:dyDescent="0.2">
      <c r="B7" s="353"/>
      <c r="C7" s="553" t="s">
        <v>168</v>
      </c>
      <c r="D7" s="597"/>
      <c r="E7" s="353">
        <v>1</v>
      </c>
      <c r="F7" s="353" t="s">
        <v>60</v>
      </c>
      <c r="G7" s="234">
        <v>0</v>
      </c>
      <c r="H7" s="595"/>
      <c r="I7" s="596"/>
      <c r="J7" s="356">
        <f>E7*G7</f>
        <v>0</v>
      </c>
    </row>
    <row r="8" spans="2:25" ht="12.95" customHeight="1" x14ac:dyDescent="0.2">
      <c r="B8" s="353"/>
      <c r="C8" s="553" t="s">
        <v>167</v>
      </c>
      <c r="D8" s="597"/>
      <c r="E8" s="353">
        <v>1</v>
      </c>
      <c r="F8" s="353" t="s">
        <v>60</v>
      </c>
      <c r="G8" s="234">
        <v>5</v>
      </c>
      <c r="H8" s="595"/>
      <c r="I8" s="596"/>
      <c r="J8" s="357">
        <f>E8*G8</f>
        <v>5</v>
      </c>
    </row>
    <row r="9" spans="2:25" ht="12.95" customHeight="1" x14ac:dyDescent="0.2">
      <c r="B9" s="550" t="s">
        <v>74</v>
      </c>
      <c r="C9" s="551"/>
      <c r="D9" s="552"/>
      <c r="E9" s="353"/>
      <c r="F9" s="353"/>
      <c r="G9" s="354"/>
      <c r="H9" s="540"/>
      <c r="I9" s="540"/>
      <c r="J9" s="358">
        <f>SUM(J6:J8)</f>
        <v>642.5</v>
      </c>
      <c r="L9" s="359"/>
      <c r="M9" s="360"/>
      <c r="N9" s="360"/>
      <c r="O9" s="360"/>
      <c r="P9" s="360"/>
      <c r="Q9" s="360"/>
      <c r="R9" s="360"/>
    </row>
    <row r="10" spans="2:25" ht="4.5" customHeight="1" x14ac:dyDescent="0.2">
      <c r="B10" s="578"/>
      <c r="C10" s="579"/>
      <c r="D10" s="579"/>
      <c r="E10" s="579"/>
      <c r="F10" s="579"/>
      <c r="G10" s="579"/>
      <c r="H10" s="579"/>
      <c r="I10" s="579"/>
      <c r="J10" s="580"/>
      <c r="L10" s="359"/>
      <c r="M10" s="360"/>
      <c r="N10" s="360"/>
      <c r="O10" s="360"/>
      <c r="P10" s="359"/>
      <c r="Q10" s="359"/>
      <c r="R10" s="359"/>
    </row>
    <row r="11" spans="2:25" ht="12.95" customHeight="1" x14ac:dyDescent="0.2">
      <c r="B11" s="550" t="s">
        <v>56</v>
      </c>
      <c r="C11" s="551"/>
      <c r="D11" s="552"/>
      <c r="E11" s="572"/>
      <c r="F11" s="573"/>
      <c r="G11" s="573"/>
      <c r="H11" s="573"/>
      <c r="I11" s="573"/>
      <c r="J11" s="574"/>
      <c r="K11" s="359"/>
      <c r="L11" s="534" t="s">
        <v>396</v>
      </c>
      <c r="M11" s="535"/>
      <c r="N11" s="533" t="s">
        <v>195</v>
      </c>
      <c r="O11" s="533" t="s">
        <v>266</v>
      </c>
      <c r="P11" s="533" t="s">
        <v>267</v>
      </c>
      <c r="Q11" s="533" t="s">
        <v>315</v>
      </c>
      <c r="R11" s="533" t="s">
        <v>314</v>
      </c>
      <c r="S11" s="533" t="str">
        <f>M14&amp;" Adjusted"</f>
        <v>DAP Adjusted</v>
      </c>
      <c r="T11" s="533" t="s">
        <v>324</v>
      </c>
      <c r="U11" s="539"/>
      <c r="V11" s="538"/>
      <c r="W11" s="359"/>
    </row>
    <row r="12" spans="2:25" ht="12.95" customHeight="1" thickBot="1" x14ac:dyDescent="0.25">
      <c r="B12" s="353"/>
      <c r="C12" s="543" t="s">
        <v>57</v>
      </c>
      <c r="D12" s="549"/>
      <c r="E12" s="242">
        <v>0.38</v>
      </c>
      <c r="F12" s="353" t="s">
        <v>58</v>
      </c>
      <c r="G12" s="234">
        <v>225</v>
      </c>
      <c r="H12" s="540"/>
      <c r="I12" s="540"/>
      <c r="J12" s="355">
        <f t="shared" ref="J12:J34" si="0">E12*G12</f>
        <v>85.5</v>
      </c>
      <c r="K12" s="361"/>
      <c r="L12" s="536"/>
      <c r="M12" s="537"/>
      <c r="N12" s="533"/>
      <c r="O12" s="533"/>
      <c r="P12" s="533"/>
      <c r="Q12" s="533"/>
      <c r="R12" s="533"/>
      <c r="S12" s="533"/>
      <c r="T12" s="533"/>
      <c r="U12" s="539"/>
      <c r="V12" s="538"/>
      <c r="W12" s="360"/>
      <c r="X12" s="349"/>
      <c r="Y12" s="349"/>
    </row>
    <row r="13" spans="2:25" ht="12.95" customHeight="1" thickBot="1" x14ac:dyDescent="0.25">
      <c r="B13" s="353"/>
      <c r="C13" s="601" t="s">
        <v>145</v>
      </c>
      <c r="D13" s="601"/>
      <c r="E13" s="233">
        <v>170</v>
      </c>
      <c r="F13" s="362" t="s">
        <v>166</v>
      </c>
      <c r="G13" s="234">
        <v>0.4</v>
      </c>
      <c r="H13" s="604" t="s">
        <v>348</v>
      </c>
      <c r="I13" s="605"/>
      <c r="J13" s="355">
        <f t="shared" si="0"/>
        <v>68</v>
      </c>
      <c r="K13" s="361"/>
      <c r="L13" s="363" t="s">
        <v>90</v>
      </c>
      <c r="M13" s="416" t="s">
        <v>197</v>
      </c>
      <c r="N13" s="364" t="str">
        <f>IF(M13=M74,R74,IF(M13=M75,R75,IF(M13=M76,R76,R77)))</f>
        <v>46-0-0</v>
      </c>
      <c r="O13" s="417">
        <v>360</v>
      </c>
      <c r="P13" s="365">
        <f>IF(M13=M74,O13/(2000*N74),IF(M13=M75,O13/(2000*N75),IF(M13=M76,O13/(2000*N76),O13/(2000*N77))))</f>
        <v>0.39130434782608697</v>
      </c>
      <c r="Q13" s="418">
        <v>325</v>
      </c>
      <c r="R13" s="366">
        <f>IF(M13=M74,Q13*N74,IF(M13=M75,Q13*N75,IF(M13=M76,Q13*N76,Q13*N77)))</f>
        <v>149.5</v>
      </c>
      <c r="S13" s="366">
        <f>IF(M14=M82,Q14*N82,IF(M14=M83,Q14*N83,Q14*N84))</f>
        <v>22.5</v>
      </c>
      <c r="T13" s="367">
        <f>SUM(R13:S13)</f>
        <v>172</v>
      </c>
      <c r="U13" s="368"/>
      <c r="V13" s="146"/>
      <c r="W13" s="360"/>
      <c r="X13" s="349"/>
      <c r="Y13" s="349"/>
    </row>
    <row r="14" spans="2:25" ht="12.95" customHeight="1" thickBot="1" x14ac:dyDescent="0.25">
      <c r="B14" s="353"/>
      <c r="C14" s="601" t="s">
        <v>111</v>
      </c>
      <c r="D14" s="601"/>
      <c r="E14" s="233">
        <v>60</v>
      </c>
      <c r="F14" s="362" t="s">
        <v>166</v>
      </c>
      <c r="G14" s="234">
        <v>0.3</v>
      </c>
      <c r="H14" s="606"/>
      <c r="I14" s="607"/>
      <c r="J14" s="355">
        <f>E14*G14</f>
        <v>18</v>
      </c>
      <c r="K14" s="361"/>
      <c r="L14" s="363" t="s">
        <v>326</v>
      </c>
      <c r="M14" s="416" t="s">
        <v>212</v>
      </c>
      <c r="N14" s="369" t="str">
        <f>IF(M14=M82,R82,IF(M14=M83,R83,R84))</f>
        <v>18-46-0</v>
      </c>
      <c r="O14" s="417">
        <v>415</v>
      </c>
      <c r="P14" s="370">
        <f>IF(M14=M82,(O14-2000*N82*P13)/(2000*P82),IF(M14=M83,(O14-2000*N83*P13)/(2000*P83),(O14-2000*N84*P13)/(2000*P84)))</f>
        <v>0.29796786389413987</v>
      </c>
      <c r="Q14" s="418">
        <v>125</v>
      </c>
      <c r="R14" s="371">
        <f>IF(M14=M82,Q14*P82,IF(M14=M83,Q14*P83,Q14*P84))</f>
        <v>57.5</v>
      </c>
      <c r="S14" s="371" t="s">
        <v>288</v>
      </c>
      <c r="T14" s="367">
        <f t="shared" ref="T14:T15" si="1">SUM(R14:S14)</f>
        <v>57.5</v>
      </c>
      <c r="U14" s="372"/>
      <c r="V14" s="372"/>
      <c r="W14" s="359"/>
    </row>
    <row r="15" spans="2:25" ht="12.95" customHeight="1" thickBot="1" x14ac:dyDescent="0.25">
      <c r="B15" s="353"/>
      <c r="C15" s="601" t="s">
        <v>112</v>
      </c>
      <c r="D15" s="601"/>
      <c r="E15" s="233">
        <v>55</v>
      </c>
      <c r="F15" s="362" t="s">
        <v>166</v>
      </c>
      <c r="G15" s="234">
        <v>0.3</v>
      </c>
      <c r="H15" s="608"/>
      <c r="I15" s="609"/>
      <c r="J15" s="355">
        <f t="shared" si="0"/>
        <v>16.5</v>
      </c>
      <c r="K15" s="361"/>
      <c r="L15" s="363" t="s">
        <v>327</v>
      </c>
      <c r="M15" s="416" t="s">
        <v>220</v>
      </c>
      <c r="N15" s="364" t="str">
        <f>IF(M15=M79,R79,R80)</f>
        <v>0-0-60</v>
      </c>
      <c r="O15" s="417">
        <v>330</v>
      </c>
      <c r="P15" s="365">
        <f>IF(M15=M79,O15/(2000*O79),O15/(2000*O80))</f>
        <v>0.27500000000000002</v>
      </c>
      <c r="Q15" s="418">
        <v>90</v>
      </c>
      <c r="R15" s="366">
        <f>IF(M15=M79,Q15*O79,Q15*O80)</f>
        <v>54</v>
      </c>
      <c r="S15" s="366" t="s">
        <v>288</v>
      </c>
      <c r="T15" s="367">
        <f t="shared" si="1"/>
        <v>54</v>
      </c>
      <c r="U15" s="372"/>
      <c r="V15" s="372"/>
      <c r="W15" s="359"/>
    </row>
    <row r="16" spans="2:25" ht="12.95" customHeight="1" x14ac:dyDescent="0.2">
      <c r="B16" s="353"/>
      <c r="C16" s="543" t="s">
        <v>97</v>
      </c>
      <c r="D16" s="549"/>
      <c r="E16" s="233">
        <v>0</v>
      </c>
      <c r="F16" s="362" t="s">
        <v>325</v>
      </c>
      <c r="G16" s="234">
        <v>0</v>
      </c>
      <c r="H16" s="373"/>
      <c r="I16" s="374"/>
      <c r="J16" s="355">
        <f>E16*G16</f>
        <v>0</v>
      </c>
      <c r="L16" s="245" t="s">
        <v>268</v>
      </c>
      <c r="M16" s="368"/>
      <c r="N16" s="375"/>
      <c r="O16" s="376"/>
      <c r="P16" s="377"/>
      <c r="Q16" s="377"/>
      <c r="R16" s="377"/>
      <c r="S16" s="377"/>
      <c r="T16" s="378"/>
      <c r="U16" s="378"/>
      <c r="V16" s="359"/>
    </row>
    <row r="17" spans="2:25" ht="12.95" customHeight="1" x14ac:dyDescent="0.2">
      <c r="B17" s="353"/>
      <c r="C17" s="543" t="s">
        <v>87</v>
      </c>
      <c r="D17" s="549"/>
      <c r="E17" s="246">
        <v>0.7</v>
      </c>
      <c r="F17" s="362" t="s">
        <v>316</v>
      </c>
      <c r="G17" s="234">
        <v>20</v>
      </c>
      <c r="H17" s="540"/>
      <c r="I17" s="540"/>
      <c r="J17" s="355">
        <f t="shared" si="0"/>
        <v>14</v>
      </c>
      <c r="K17" s="349"/>
      <c r="L17" s="245" t="str">
        <f>"The value of the Nitrogen in the "&amp;M14&amp; " fertilizer is being subtracted and added into the N Adjusted Units/Acre."</f>
        <v>The value of the Nitrogen in the DAP fertilizer is being subtracted and added into the N Adjusted Units/Acre.</v>
      </c>
      <c r="T17" s="359"/>
      <c r="U17" s="359"/>
      <c r="V17" s="359"/>
    </row>
    <row r="18" spans="2:25" ht="12.95" customHeight="1" x14ac:dyDescent="0.2">
      <c r="B18" s="353"/>
      <c r="C18" s="543" t="s">
        <v>59</v>
      </c>
      <c r="D18" s="549"/>
      <c r="E18" s="353">
        <v>1</v>
      </c>
      <c r="F18" s="353" t="s">
        <v>60</v>
      </c>
      <c r="G18" s="234">
        <v>70</v>
      </c>
      <c r="H18" s="540"/>
      <c r="I18" s="540"/>
      <c r="J18" s="355">
        <f t="shared" si="0"/>
        <v>70</v>
      </c>
      <c r="K18" s="349"/>
      <c r="L18" s="379"/>
    </row>
    <row r="19" spans="2:25" ht="12.95" customHeight="1" x14ac:dyDescent="0.2">
      <c r="B19" s="353"/>
      <c r="C19" s="543" t="s">
        <v>151</v>
      </c>
      <c r="D19" s="549"/>
      <c r="E19" s="353">
        <v>1</v>
      </c>
      <c r="F19" s="353" t="s">
        <v>60</v>
      </c>
      <c r="G19" s="234">
        <v>0</v>
      </c>
      <c r="H19" s="540"/>
      <c r="I19" s="540"/>
      <c r="J19" s="355">
        <f t="shared" si="0"/>
        <v>0</v>
      </c>
      <c r="K19" s="349"/>
      <c r="L19" s="349"/>
    </row>
    <row r="20" spans="2:25" ht="12.95" customHeight="1" thickBot="1" x14ac:dyDescent="0.25">
      <c r="B20" s="353"/>
      <c r="C20" s="553" t="s">
        <v>152</v>
      </c>
      <c r="D20" s="597"/>
      <c r="E20" s="353">
        <v>1</v>
      </c>
      <c r="F20" s="353" t="s">
        <v>60</v>
      </c>
      <c r="G20" s="234">
        <v>0</v>
      </c>
      <c r="H20" s="602"/>
      <c r="I20" s="603"/>
      <c r="J20" s="355">
        <f>E20*G20</f>
        <v>0</v>
      </c>
      <c r="K20" s="349"/>
      <c r="L20" s="379"/>
      <c r="M20" s="360"/>
      <c r="N20" s="360"/>
      <c r="O20" s="360"/>
      <c r="P20" s="349"/>
      <c r="Q20" s="349"/>
    </row>
    <row r="21" spans="2:25" ht="12.95" customHeight="1" x14ac:dyDescent="0.2">
      <c r="B21" s="353"/>
      <c r="C21" s="556" t="s">
        <v>86</v>
      </c>
      <c r="D21" s="558"/>
      <c r="E21" s="380">
        <v>1</v>
      </c>
      <c r="F21" s="380" t="s">
        <v>60</v>
      </c>
      <c r="G21" s="249">
        <v>0</v>
      </c>
      <c r="H21" s="568" t="s">
        <v>129</v>
      </c>
      <c r="I21" s="565" t="s">
        <v>51</v>
      </c>
      <c r="J21" s="381">
        <f>IF(I21=D61,'Machinery Calc (GMO)'!U74,G21)</f>
        <v>12.207172799346617</v>
      </c>
      <c r="L21" s="379"/>
      <c r="M21" s="379"/>
      <c r="N21" s="379"/>
      <c r="O21" s="379"/>
      <c r="P21" s="349"/>
      <c r="Q21" s="349"/>
      <c r="R21" s="349"/>
      <c r="S21" s="349"/>
      <c r="T21" s="349"/>
      <c r="U21" s="349"/>
      <c r="V21" s="349"/>
      <c r="W21" s="349"/>
    </row>
    <row r="22" spans="2:25" ht="12.95" customHeight="1" x14ac:dyDescent="0.2">
      <c r="B22" s="353"/>
      <c r="C22" s="556" t="s">
        <v>8</v>
      </c>
      <c r="D22" s="558"/>
      <c r="E22" s="380">
        <v>1</v>
      </c>
      <c r="F22" s="380" t="s">
        <v>60</v>
      </c>
      <c r="G22" s="249">
        <v>0</v>
      </c>
      <c r="H22" s="569"/>
      <c r="I22" s="566"/>
      <c r="J22" s="381">
        <f>IF(I21=D61,'Machinery Calc (GMO)'!X74,G22)</f>
        <v>29.290007070520808</v>
      </c>
      <c r="L22" s="382"/>
      <c r="M22" s="383"/>
      <c r="N22" s="360"/>
      <c r="O22" s="360"/>
      <c r="P22" s="349"/>
      <c r="Q22" s="349"/>
      <c r="R22" s="360"/>
      <c r="S22" s="349"/>
      <c r="T22" s="349"/>
      <c r="U22" s="349"/>
      <c r="V22" s="349"/>
      <c r="W22" s="349"/>
    </row>
    <row r="23" spans="2:25" ht="12.95" customHeight="1" x14ac:dyDescent="0.2">
      <c r="B23" s="353"/>
      <c r="C23" s="556" t="s">
        <v>71</v>
      </c>
      <c r="D23" s="558"/>
      <c r="E23" s="380">
        <v>1</v>
      </c>
      <c r="F23" s="380" t="s">
        <v>60</v>
      </c>
      <c r="G23" s="249">
        <v>0</v>
      </c>
      <c r="H23" s="569"/>
      <c r="I23" s="566"/>
      <c r="J23" s="381">
        <f>IF(I21=D61,'Machinery Calc (GMO)'!W74,G23)</f>
        <v>0</v>
      </c>
      <c r="L23" s="383"/>
      <c r="M23" s="383"/>
      <c r="N23" s="360"/>
      <c r="O23" s="360"/>
    </row>
    <row r="24" spans="2:25" ht="12.95" customHeight="1" x14ac:dyDescent="0.2">
      <c r="B24" s="353"/>
      <c r="C24" s="556" t="s">
        <v>113</v>
      </c>
      <c r="D24" s="558"/>
      <c r="E24" s="380">
        <v>1</v>
      </c>
      <c r="F24" s="380" t="s">
        <v>60</v>
      </c>
      <c r="G24" s="249">
        <v>0</v>
      </c>
      <c r="H24" s="569"/>
      <c r="I24" s="566"/>
      <c r="J24" s="381">
        <f>IF(I21=D61,(IF('Machinery Calc (GMO)'!B5='Machinery(GMO)'!B49,'Machinery Calc (GMO)'!V74,0)),G24)</f>
        <v>26.3264342556798</v>
      </c>
      <c r="K24" s="384"/>
      <c r="L24" s="383"/>
      <c r="M24" s="360"/>
      <c r="N24" s="360"/>
      <c r="O24" s="360"/>
    </row>
    <row r="25" spans="2:25" ht="12.95" customHeight="1" thickBot="1" x14ac:dyDescent="0.25">
      <c r="B25" s="353"/>
      <c r="C25" s="556" t="s">
        <v>50</v>
      </c>
      <c r="D25" s="557"/>
      <c r="E25" s="380">
        <v>1</v>
      </c>
      <c r="F25" s="380" t="s">
        <v>60</v>
      </c>
      <c r="G25" s="249">
        <v>0</v>
      </c>
      <c r="H25" s="570"/>
      <c r="I25" s="567"/>
      <c r="J25" s="381">
        <f>IF(I21=D61,'Machinery Calc (GMO)'!Z74,E25*G25)</f>
        <v>0</v>
      </c>
      <c r="K25" s="348" t="s">
        <v>75</v>
      </c>
      <c r="L25" s="379"/>
      <c r="M25" s="360"/>
      <c r="N25" s="360"/>
      <c r="O25" s="360"/>
      <c r="S25" s="349"/>
    </row>
    <row r="26" spans="2:25" ht="12.95" customHeight="1" thickBot="1" x14ac:dyDescent="0.25">
      <c r="B26" s="353"/>
      <c r="C26" s="385" t="s">
        <v>241</v>
      </c>
      <c r="D26" s="419" t="s">
        <v>222</v>
      </c>
      <c r="E26" s="386">
        <v>1</v>
      </c>
      <c r="F26" s="362" t="s">
        <v>55</v>
      </c>
      <c r="G26" s="254">
        <v>0.25</v>
      </c>
      <c r="H26" s="564" t="s">
        <v>274</v>
      </c>
      <c r="I26" s="562">
        <v>25</v>
      </c>
      <c r="J26" s="355" t="str">
        <f>IF(I21=D60,E6*G26,IF(D26=C70,E6*G26,""))</f>
        <v/>
      </c>
      <c r="K26" s="384"/>
      <c r="L26" s="387" t="s">
        <v>321</v>
      </c>
      <c r="M26" s="360"/>
      <c r="N26" s="360"/>
      <c r="O26" s="360"/>
      <c r="S26" s="349"/>
    </row>
    <row r="27" spans="2:25" ht="12.95" customHeight="1" thickBot="1" x14ac:dyDescent="0.25">
      <c r="B27" s="388"/>
      <c r="C27" s="560" t="s">
        <v>244</v>
      </c>
      <c r="D27" s="561"/>
      <c r="E27" s="386">
        <v>1</v>
      </c>
      <c r="F27" s="362" t="s">
        <v>55</v>
      </c>
      <c r="G27" s="389">
        <f>'Machinery Calc (GMO)'!AA81/E6</f>
        <v>0.15421414520140572</v>
      </c>
      <c r="H27" s="564"/>
      <c r="I27" s="563"/>
      <c r="J27" s="355" t="str">
        <f>IF(I21=D60,"",IF(D26=C71,IF(C27=C85,E6*G27,""),""))</f>
        <v/>
      </c>
      <c r="K27" s="384"/>
      <c r="L27" s="390" t="s">
        <v>287</v>
      </c>
      <c r="M27" s="360"/>
      <c r="N27" s="360"/>
      <c r="O27" s="360"/>
    </row>
    <row r="28" spans="2:25" ht="12.95" customHeight="1" x14ac:dyDescent="0.2">
      <c r="B28" s="353"/>
      <c r="C28" s="555" t="s">
        <v>77</v>
      </c>
      <c r="D28" s="545"/>
      <c r="E28" s="353">
        <v>1</v>
      </c>
      <c r="F28" s="353" t="s">
        <v>60</v>
      </c>
      <c r="G28" s="234">
        <v>0</v>
      </c>
      <c r="H28" s="541"/>
      <c r="I28" s="542"/>
      <c r="J28" s="355">
        <f>E28*G28</f>
        <v>0</v>
      </c>
      <c r="K28" s="348" t="s">
        <v>75</v>
      </c>
      <c r="L28" s="379"/>
      <c r="M28" s="360"/>
      <c r="N28" s="360"/>
      <c r="O28" s="360"/>
    </row>
    <row r="29" spans="2:25" ht="12.95" customHeight="1" thickBot="1" x14ac:dyDescent="0.25">
      <c r="B29" s="353"/>
      <c r="C29" s="543" t="s">
        <v>158</v>
      </c>
      <c r="D29" s="544"/>
      <c r="E29" s="353">
        <v>1</v>
      </c>
      <c r="F29" s="353" t="s">
        <v>85</v>
      </c>
      <c r="G29" s="234">
        <v>1.25</v>
      </c>
      <c r="H29" s="391" t="s">
        <v>123</v>
      </c>
      <c r="I29" s="259">
        <v>3</v>
      </c>
      <c r="J29" s="355">
        <f>(G29/54.5+0.005)*E6*I29</f>
        <v>14.247247706422019</v>
      </c>
      <c r="K29" s="392"/>
      <c r="L29" s="360"/>
      <c r="M29" s="360"/>
      <c r="N29" s="360"/>
      <c r="O29" s="360"/>
    </row>
    <row r="30" spans="2:25" ht="12.95" customHeight="1" thickBot="1" x14ac:dyDescent="0.25">
      <c r="B30" s="353"/>
      <c r="C30" s="393" t="s">
        <v>224</v>
      </c>
      <c r="D30" s="419" t="s">
        <v>249</v>
      </c>
      <c r="E30" s="394">
        <f>E6*I30</f>
        <v>42.5</v>
      </c>
      <c r="F30" s="362" t="s">
        <v>55</v>
      </c>
      <c r="G30" s="234">
        <v>0.2</v>
      </c>
      <c r="H30" s="391" t="s">
        <v>225</v>
      </c>
      <c r="I30" s="261">
        <v>0.25</v>
      </c>
      <c r="J30" s="355">
        <f>IF(D30=C66,E30*G30,'Storage(All)'!C22)</f>
        <v>12.165625</v>
      </c>
      <c r="K30" s="392"/>
      <c r="L30" s="395" t="s">
        <v>248</v>
      </c>
      <c r="M30" s="396"/>
      <c r="N30" s="396"/>
      <c r="O30" s="397"/>
      <c r="P30" s="349"/>
      <c r="Q30" s="349"/>
      <c r="R30" s="349"/>
      <c r="S30" s="349"/>
      <c r="T30" s="349"/>
      <c r="U30" s="349"/>
      <c r="V30" s="349"/>
      <c r="W30" s="349"/>
      <c r="X30" s="349"/>
      <c r="Y30" s="349"/>
    </row>
    <row r="31" spans="2:25" ht="12.95" customHeight="1" thickBot="1" x14ac:dyDescent="0.25">
      <c r="B31" s="353"/>
      <c r="C31" s="553" t="s">
        <v>155</v>
      </c>
      <c r="D31" s="554"/>
      <c r="E31" s="353">
        <v>1</v>
      </c>
      <c r="F31" s="353" t="s">
        <v>60</v>
      </c>
      <c r="G31" s="234">
        <v>20</v>
      </c>
      <c r="H31" s="548"/>
      <c r="I31" s="548"/>
      <c r="J31" s="355">
        <f t="shared" si="0"/>
        <v>20</v>
      </c>
      <c r="L31" s="359"/>
      <c r="M31" s="360"/>
      <c r="N31" s="360"/>
      <c r="O31" s="360"/>
      <c r="P31" s="349"/>
      <c r="Q31" s="349"/>
      <c r="R31" s="349"/>
      <c r="S31" s="349"/>
      <c r="T31" s="349"/>
      <c r="U31" s="349"/>
      <c r="V31" s="349"/>
      <c r="W31" s="349"/>
      <c r="X31" s="349"/>
      <c r="Y31" s="349"/>
    </row>
    <row r="32" spans="2:25" ht="12.95" customHeight="1" thickBot="1" x14ac:dyDescent="0.25">
      <c r="B32" s="353"/>
      <c r="C32" s="393" t="s">
        <v>344</v>
      </c>
      <c r="D32" s="419" t="s">
        <v>252</v>
      </c>
      <c r="E32" s="386">
        <v>1</v>
      </c>
      <c r="F32" s="362" t="s">
        <v>60</v>
      </c>
      <c r="G32" s="234">
        <v>140</v>
      </c>
      <c r="H32" s="391" t="s">
        <v>240</v>
      </c>
      <c r="I32" s="261">
        <v>0.25</v>
      </c>
      <c r="J32" s="355">
        <f>IF(D32=C80,E32*G32,J6*I32)</f>
        <v>140</v>
      </c>
      <c r="L32" s="245" t="s">
        <v>247</v>
      </c>
      <c r="M32" s="396"/>
      <c r="N32" s="396"/>
      <c r="O32" s="397"/>
      <c r="P32" s="349"/>
      <c r="Q32" s="349"/>
      <c r="R32" s="349"/>
      <c r="S32" s="349"/>
      <c r="T32" s="349"/>
      <c r="U32" s="349"/>
      <c r="V32" s="349"/>
      <c r="W32" s="349"/>
      <c r="X32" s="349"/>
      <c r="Y32" s="349"/>
    </row>
    <row r="33" spans="2:25" ht="12.95" customHeight="1" x14ac:dyDescent="0.2">
      <c r="B33" s="353"/>
      <c r="C33" s="543" t="s">
        <v>349</v>
      </c>
      <c r="D33" s="545"/>
      <c r="E33" s="353">
        <v>1</v>
      </c>
      <c r="F33" s="362" t="s">
        <v>60</v>
      </c>
      <c r="G33" s="234">
        <v>0</v>
      </c>
      <c r="H33" s="546"/>
      <c r="I33" s="547"/>
      <c r="J33" s="355">
        <f>E33*G33</f>
        <v>0</v>
      </c>
      <c r="L33" s="245"/>
      <c r="M33" s="396"/>
      <c r="N33" s="396"/>
      <c r="O33" s="397"/>
      <c r="P33" s="349"/>
      <c r="Q33" s="349"/>
      <c r="R33" s="349"/>
      <c r="S33" s="349"/>
      <c r="T33" s="349"/>
      <c r="U33" s="349"/>
      <c r="V33" s="349"/>
      <c r="W33" s="349"/>
      <c r="X33" s="349"/>
      <c r="Y33" s="349"/>
    </row>
    <row r="34" spans="2:25" ht="12.95" customHeight="1" x14ac:dyDescent="0.2">
      <c r="B34" s="353"/>
      <c r="C34" s="543" t="s">
        <v>160</v>
      </c>
      <c r="D34" s="549"/>
      <c r="E34" s="353">
        <v>1</v>
      </c>
      <c r="F34" s="353" t="s">
        <v>60</v>
      </c>
      <c r="G34" s="234">
        <v>10</v>
      </c>
      <c r="H34" s="559"/>
      <c r="I34" s="559"/>
      <c r="J34" s="355">
        <f t="shared" si="0"/>
        <v>10</v>
      </c>
    </row>
    <row r="35" spans="2:25" ht="12.95" customHeight="1" x14ac:dyDescent="0.2">
      <c r="B35" s="353"/>
      <c r="C35" s="543" t="s">
        <v>61</v>
      </c>
      <c r="D35" s="549"/>
      <c r="E35" s="398">
        <f>SUM(J12:J34)-J29-J30-(SUM('Machinery Calc (GMO)'!U47:U51,'Machinery Calc (GMO)'!V47:V51,'Machinery Calc (GMO)'!W47:W51,'Machinery Calc (GMO)'!X47:X51,'Machinery Calc (GMO)'!Z47:Z51))</f>
        <v>476.26610376633454</v>
      </c>
      <c r="F35" s="353" t="s">
        <v>62</v>
      </c>
      <c r="G35" s="265">
        <v>0.06</v>
      </c>
      <c r="H35" s="391" t="s">
        <v>81</v>
      </c>
      <c r="I35" s="266">
        <v>6</v>
      </c>
      <c r="J35" s="357">
        <f>E35*G35*(I35/12)</f>
        <v>14.287983112990036</v>
      </c>
    </row>
    <row r="36" spans="2:25" ht="12.95" customHeight="1" x14ac:dyDescent="0.2">
      <c r="B36" s="550" t="s">
        <v>63</v>
      </c>
      <c r="C36" s="551"/>
      <c r="D36" s="552"/>
      <c r="E36" s="353"/>
      <c r="F36" s="353"/>
      <c r="G36" s="353"/>
      <c r="H36" s="540"/>
      <c r="I36" s="540"/>
      <c r="J36" s="358">
        <f>SUM(J12:J35)</f>
        <v>550.52446994495915</v>
      </c>
    </row>
    <row r="37" spans="2:25" ht="7.5" customHeight="1" x14ac:dyDescent="0.2">
      <c r="B37" s="578"/>
      <c r="C37" s="579"/>
      <c r="D37" s="579"/>
      <c r="E37" s="579"/>
      <c r="F37" s="579"/>
      <c r="G37" s="579"/>
      <c r="H37" s="579"/>
      <c r="I37" s="579"/>
      <c r="J37" s="580"/>
    </row>
    <row r="38" spans="2:25" ht="15.75" x14ac:dyDescent="0.2">
      <c r="B38" s="572" t="s">
        <v>64</v>
      </c>
      <c r="C38" s="573"/>
      <c r="D38" s="573"/>
      <c r="E38" s="573"/>
      <c r="F38" s="573"/>
      <c r="G38" s="573"/>
      <c r="H38" s="573"/>
      <c r="I38" s="574"/>
      <c r="J38" s="399">
        <f>J9-J36</f>
        <v>91.975530055040849</v>
      </c>
    </row>
    <row r="39" spans="2:25" ht="7.5" customHeight="1" x14ac:dyDescent="0.2">
      <c r="B39" s="578"/>
      <c r="C39" s="579"/>
      <c r="D39" s="579"/>
      <c r="E39" s="579"/>
      <c r="F39" s="579"/>
      <c r="G39" s="579"/>
      <c r="H39" s="579"/>
      <c r="I39" s="579"/>
      <c r="J39" s="580"/>
    </row>
    <row r="40" spans="2:25" ht="12.95" customHeight="1" x14ac:dyDescent="0.2">
      <c r="B40" s="550" t="s">
        <v>65</v>
      </c>
      <c r="C40" s="551"/>
      <c r="D40" s="552"/>
      <c r="E40" s="572"/>
      <c r="F40" s="573"/>
      <c r="G40" s="573"/>
      <c r="H40" s="573"/>
      <c r="I40" s="573"/>
      <c r="J40" s="574"/>
    </row>
    <row r="41" spans="2:25" ht="12.95" customHeight="1" x14ac:dyDescent="0.2">
      <c r="B41" s="353"/>
      <c r="C41" s="556" t="s">
        <v>114</v>
      </c>
      <c r="D41" s="558"/>
      <c r="E41" s="380">
        <v>1</v>
      </c>
      <c r="F41" s="380" t="s">
        <v>60</v>
      </c>
      <c r="G41" s="249">
        <v>0</v>
      </c>
      <c r="H41" s="568" t="s">
        <v>91</v>
      </c>
      <c r="I41" s="588"/>
      <c r="J41" s="400">
        <f>IF(I21=D61,IF('Machinery Calc (GMO)'!B5='Machinery(GMO)'!B49,0,'Machinery Calc (GMO)'!V74),G41)</f>
        <v>0</v>
      </c>
    </row>
    <row r="42" spans="2:25" ht="12.95" customHeight="1" x14ac:dyDescent="0.2">
      <c r="B42" s="353"/>
      <c r="C42" s="556" t="s">
        <v>72</v>
      </c>
      <c r="D42" s="558"/>
      <c r="E42" s="380">
        <v>1</v>
      </c>
      <c r="F42" s="380" t="s">
        <v>60</v>
      </c>
      <c r="G42" s="249">
        <v>0</v>
      </c>
      <c r="H42" s="589"/>
      <c r="I42" s="590"/>
      <c r="J42" s="400">
        <f>IF(I21=D61,'Machinery Calc (GMO)'!Y74,G42)</f>
        <v>59.467590112875563</v>
      </c>
    </row>
    <row r="43" spans="2:25" ht="12.95" customHeight="1" x14ac:dyDescent="0.2">
      <c r="B43" s="353"/>
      <c r="C43" s="543" t="s">
        <v>76</v>
      </c>
      <c r="D43" s="549"/>
      <c r="E43" s="353">
        <v>1</v>
      </c>
      <c r="F43" s="353" t="s">
        <v>60</v>
      </c>
      <c r="G43" s="234">
        <v>5</v>
      </c>
      <c r="H43" s="540"/>
      <c r="I43" s="540"/>
      <c r="J43" s="355">
        <f>E43*G43</f>
        <v>5</v>
      </c>
    </row>
    <row r="44" spans="2:25" ht="12.95" customHeight="1" x14ac:dyDescent="0.2">
      <c r="B44" s="353"/>
      <c r="C44" s="543" t="s">
        <v>159</v>
      </c>
      <c r="D44" s="549"/>
      <c r="E44" s="353">
        <v>1</v>
      </c>
      <c r="F44" s="353" t="s">
        <v>60</v>
      </c>
      <c r="G44" s="234">
        <v>10</v>
      </c>
      <c r="H44" s="540"/>
      <c r="I44" s="540"/>
      <c r="J44" s="357">
        <f>E44*G44</f>
        <v>10</v>
      </c>
    </row>
    <row r="45" spans="2:25" ht="15.75" x14ac:dyDescent="0.2">
      <c r="B45" s="572" t="s">
        <v>66</v>
      </c>
      <c r="C45" s="573"/>
      <c r="D45" s="573"/>
      <c r="E45" s="573"/>
      <c r="F45" s="573"/>
      <c r="G45" s="573"/>
      <c r="H45" s="573"/>
      <c r="I45" s="574"/>
      <c r="J45" s="399">
        <f>J38-(SUM(J41:J44))</f>
        <v>17.507939942165279</v>
      </c>
      <c r="K45" s="348" t="s">
        <v>75</v>
      </c>
    </row>
    <row r="46" spans="2:25" ht="12.95" customHeight="1" x14ac:dyDescent="0.2">
      <c r="B46" s="578"/>
      <c r="C46" s="579"/>
      <c r="D46" s="579"/>
      <c r="E46" s="579"/>
      <c r="F46" s="579"/>
      <c r="G46" s="579"/>
      <c r="H46" s="579"/>
      <c r="I46" s="579"/>
      <c r="J46" s="580"/>
    </row>
    <row r="47" spans="2:25" ht="15.75" x14ac:dyDescent="0.2">
      <c r="B47" s="585" t="str">
        <f>"Breakeven Yield at " &amp; TEXT(G6,"$0.00") &amp;" /bushel"</f>
        <v>Breakeven Yield at $3.75 /bushel</v>
      </c>
      <c r="C47" s="586"/>
      <c r="D47" s="587"/>
      <c r="E47" s="401">
        <f>J36/G6</f>
        <v>146.80652531865579</v>
      </c>
      <c r="F47" s="575" t="s">
        <v>67</v>
      </c>
      <c r="G47" s="576"/>
      <c r="H47" s="576"/>
      <c r="I47" s="576"/>
      <c r="J47" s="577"/>
      <c r="K47" s="279"/>
      <c r="L47" s="279"/>
      <c r="M47" s="402"/>
      <c r="N47" s="402"/>
      <c r="O47" s="402"/>
    </row>
    <row r="48" spans="2:25" ht="15.75" x14ac:dyDescent="0.2">
      <c r="B48" s="585" t="str">
        <f>"Breakeven Cost at " &amp; ROUND(E6,0) &amp;" bu/acre"</f>
        <v>Breakeven Cost at 170 bu/acre</v>
      </c>
      <c r="C48" s="586"/>
      <c r="D48" s="587"/>
      <c r="E48" s="403">
        <f>J36/E6</f>
        <v>3.2383792349703477</v>
      </c>
      <c r="F48" s="575" t="s">
        <v>138</v>
      </c>
      <c r="G48" s="576"/>
      <c r="H48" s="576"/>
      <c r="I48" s="576"/>
      <c r="J48" s="577"/>
      <c r="K48" s="279"/>
      <c r="L48" s="279"/>
      <c r="M48" s="402"/>
      <c r="N48" s="402"/>
      <c r="O48" s="402"/>
    </row>
    <row r="49" spans="2:15" ht="15.75" x14ac:dyDescent="0.2">
      <c r="B49" s="585" t="str">
        <f>"Breakeven Cost at " &amp; ROUND(E6,0) &amp;" bu/acre"</f>
        <v>Breakeven Cost at 170 bu/acre</v>
      </c>
      <c r="C49" s="586"/>
      <c r="D49" s="587"/>
      <c r="E49" s="403">
        <f>(J36+SUM(J41:J44))/E6</f>
        <v>3.6764238826931455</v>
      </c>
      <c r="F49" s="575" t="s">
        <v>139</v>
      </c>
      <c r="G49" s="576"/>
      <c r="H49" s="576"/>
      <c r="I49" s="576"/>
      <c r="J49" s="577"/>
    </row>
    <row r="50" spans="2:15" x14ac:dyDescent="0.2">
      <c r="B50" s="581"/>
      <c r="C50" s="581"/>
      <c r="D50" s="581"/>
      <c r="E50" s="581"/>
      <c r="F50" s="581"/>
      <c r="G50" s="581"/>
      <c r="H50" s="581"/>
      <c r="I50" s="581"/>
      <c r="J50" s="581"/>
    </row>
    <row r="51" spans="2:15" x14ac:dyDescent="0.2">
      <c r="B51" s="584" t="s">
        <v>144</v>
      </c>
      <c r="C51" s="584"/>
      <c r="D51" s="584"/>
      <c r="E51" s="584"/>
      <c r="F51" s="584"/>
      <c r="G51" s="584"/>
      <c r="H51" s="584"/>
      <c r="I51" s="584"/>
      <c r="J51" s="584"/>
    </row>
    <row r="52" spans="2:15" ht="13.15" customHeight="1" x14ac:dyDescent="0.2">
      <c r="B52" s="582" t="s">
        <v>146</v>
      </c>
      <c r="C52" s="583"/>
      <c r="D52" s="583"/>
      <c r="E52" s="583"/>
      <c r="F52" s="583"/>
      <c r="G52" s="583"/>
      <c r="H52" s="583"/>
      <c r="I52" s="583"/>
      <c r="J52" s="583"/>
    </row>
    <row r="53" spans="2:15" ht="13.15" customHeight="1" x14ac:dyDescent="0.2">
      <c r="B53" s="582" t="s">
        <v>153</v>
      </c>
      <c r="C53" s="583"/>
      <c r="D53" s="583"/>
      <c r="E53" s="583"/>
      <c r="F53" s="583"/>
      <c r="G53" s="583"/>
      <c r="H53" s="583"/>
      <c r="I53" s="583"/>
      <c r="J53" s="583"/>
    </row>
    <row r="54" spans="2:15" ht="13.15" customHeight="1" x14ac:dyDescent="0.2">
      <c r="B54" s="582" t="s">
        <v>157</v>
      </c>
      <c r="C54" s="583"/>
      <c r="D54" s="583"/>
      <c r="E54" s="583"/>
      <c r="F54" s="583"/>
      <c r="G54" s="583"/>
      <c r="H54" s="583"/>
      <c r="I54" s="583"/>
      <c r="J54" s="583"/>
    </row>
    <row r="55" spans="2:15" x14ac:dyDescent="0.2">
      <c r="B55" s="582" t="s">
        <v>154</v>
      </c>
      <c r="C55" s="583"/>
      <c r="D55" s="583"/>
      <c r="E55" s="583"/>
      <c r="F55" s="583"/>
      <c r="G55" s="583"/>
      <c r="H55" s="583"/>
      <c r="I55" s="583"/>
      <c r="J55" s="583"/>
    </row>
    <row r="56" spans="2:15" x14ac:dyDescent="0.2">
      <c r="B56" s="583"/>
      <c r="C56" s="583"/>
      <c r="D56" s="583"/>
      <c r="E56" s="583"/>
      <c r="F56" s="583"/>
      <c r="G56" s="583"/>
      <c r="H56" s="583"/>
      <c r="I56" s="583"/>
      <c r="J56" s="583"/>
    </row>
    <row r="57" spans="2:15" x14ac:dyDescent="0.2">
      <c r="B57" s="350"/>
      <c r="C57" s="350"/>
      <c r="D57" s="350"/>
      <c r="E57" s="350"/>
      <c r="F57" s="350"/>
      <c r="G57" s="350"/>
      <c r="H57" s="350"/>
      <c r="I57" s="350"/>
      <c r="J57" s="350"/>
    </row>
    <row r="59" spans="2:15" ht="13.5" customHeight="1" x14ac:dyDescent="0.2"/>
    <row r="60" spans="2:15" ht="14.25" hidden="1" customHeight="1" x14ac:dyDescent="0.2">
      <c r="C60" s="348">
        <v>5</v>
      </c>
      <c r="D60" s="348" t="str">
        <f>'Machinery(GMO)'!B50</f>
        <v>N</v>
      </c>
    </row>
    <row r="61" spans="2:15" hidden="1" x14ac:dyDescent="0.2">
      <c r="C61" s="348">
        <v>6</v>
      </c>
      <c r="D61" s="348" t="str">
        <f>'Machinery(GMO)'!B49</f>
        <v>Y</v>
      </c>
    </row>
    <row r="62" spans="2:15" hidden="1" x14ac:dyDescent="0.2">
      <c r="C62" s="348">
        <v>7</v>
      </c>
      <c r="I62" s="279"/>
      <c r="M62" s="279"/>
      <c r="N62" s="348"/>
    </row>
    <row r="63" spans="2:15" hidden="1" x14ac:dyDescent="0.2">
      <c r="C63" s="348">
        <v>8</v>
      </c>
      <c r="M63" s="279"/>
      <c r="N63" s="348"/>
    </row>
    <row r="64" spans="2:15" hidden="1" x14ac:dyDescent="0.2">
      <c r="O64" s="402"/>
    </row>
    <row r="65" spans="3:18" hidden="1" x14ac:dyDescent="0.2">
      <c r="M65" s="402"/>
      <c r="N65" s="402"/>
      <c r="O65" s="402"/>
    </row>
    <row r="66" spans="3:18" hidden="1" x14ac:dyDescent="0.2">
      <c r="C66" s="279" t="s">
        <v>238</v>
      </c>
      <c r="M66" s="402"/>
      <c r="N66" s="402"/>
      <c r="O66" s="402"/>
    </row>
    <row r="67" spans="3:18" hidden="1" x14ac:dyDescent="0.2">
      <c r="C67" s="279" t="s">
        <v>249</v>
      </c>
      <c r="L67" s="279"/>
      <c r="M67" s="402"/>
      <c r="N67" s="402"/>
      <c r="O67" s="402"/>
    </row>
    <row r="68" spans="3:18" hidden="1" x14ac:dyDescent="0.2">
      <c r="L68" s="279"/>
      <c r="M68" s="402"/>
      <c r="N68" s="402"/>
      <c r="O68" s="402"/>
    </row>
    <row r="69" spans="3:18" hidden="1" x14ac:dyDescent="0.2"/>
    <row r="70" spans="3:18" hidden="1" x14ac:dyDescent="0.2">
      <c r="C70" s="279" t="s">
        <v>238</v>
      </c>
    </row>
    <row r="71" spans="3:18" hidden="1" x14ac:dyDescent="0.2">
      <c r="C71" s="404" t="str">
        <f>IF(I21=D60,"-","Calculate")</f>
        <v>Calculate</v>
      </c>
    </row>
    <row r="72" spans="3:18" ht="25.5" hidden="1" x14ac:dyDescent="0.2">
      <c r="M72" s="348"/>
      <c r="N72" s="279" t="s">
        <v>217</v>
      </c>
      <c r="O72" s="279" t="s">
        <v>218</v>
      </c>
      <c r="P72" s="279" t="s">
        <v>219</v>
      </c>
      <c r="Q72" s="279"/>
      <c r="R72" s="405" t="s">
        <v>195</v>
      </c>
    </row>
    <row r="73" spans="3:18" hidden="1" x14ac:dyDescent="0.2">
      <c r="C73" s="348" t="s">
        <v>375</v>
      </c>
      <c r="L73" s="571" t="s">
        <v>196</v>
      </c>
      <c r="M73" s="571"/>
      <c r="N73" s="406"/>
      <c r="O73" s="406"/>
      <c r="P73" s="406"/>
      <c r="Q73" s="406"/>
      <c r="R73" s="407"/>
    </row>
    <row r="74" spans="3:18" hidden="1" x14ac:dyDescent="0.2">
      <c r="C74" s="348" t="s">
        <v>376</v>
      </c>
      <c r="M74" s="279" t="s">
        <v>197</v>
      </c>
      <c r="N74" s="406">
        <v>0.46</v>
      </c>
      <c r="O74" s="406"/>
      <c r="P74" s="406"/>
      <c r="Q74" s="406"/>
      <c r="R74" s="408" t="s">
        <v>198</v>
      </c>
    </row>
    <row r="75" spans="3:18" hidden="1" x14ac:dyDescent="0.2">
      <c r="M75" s="279" t="s">
        <v>199</v>
      </c>
      <c r="N75" s="406">
        <v>0.82</v>
      </c>
      <c r="O75" s="406"/>
      <c r="P75" s="406"/>
      <c r="Q75" s="406"/>
      <c r="R75" s="408" t="s">
        <v>200</v>
      </c>
    </row>
    <row r="76" spans="3:18" hidden="1" x14ac:dyDescent="0.2">
      <c r="C76" s="279" t="s">
        <v>226</v>
      </c>
      <c r="H76" s="349"/>
      <c r="I76" s="349"/>
      <c r="M76" s="279" t="s">
        <v>201</v>
      </c>
      <c r="N76" s="406">
        <v>0.32</v>
      </c>
      <c r="O76" s="406"/>
      <c r="P76" s="406"/>
      <c r="Q76" s="406"/>
      <c r="R76" s="408" t="s">
        <v>202</v>
      </c>
    </row>
    <row r="77" spans="3:18" hidden="1" x14ac:dyDescent="0.2">
      <c r="C77" s="279" t="s">
        <v>230</v>
      </c>
      <c r="M77" s="279" t="s">
        <v>203</v>
      </c>
      <c r="N77" s="406">
        <v>0.28000000000000003</v>
      </c>
      <c r="O77" s="406"/>
      <c r="P77" s="406"/>
      <c r="Q77" s="406"/>
      <c r="R77" s="408" t="s">
        <v>204</v>
      </c>
    </row>
    <row r="78" spans="3:18" hidden="1" x14ac:dyDescent="0.2">
      <c r="C78" s="279" t="s">
        <v>231</v>
      </c>
      <c r="L78" s="571" t="s">
        <v>205</v>
      </c>
      <c r="M78" s="571"/>
      <c r="N78" s="406"/>
      <c r="O78" s="406"/>
      <c r="P78" s="406"/>
      <c r="Q78" s="406"/>
      <c r="R78" s="408"/>
    </row>
    <row r="79" spans="3:18" hidden="1" x14ac:dyDescent="0.2">
      <c r="M79" s="279" t="s">
        <v>220</v>
      </c>
      <c r="N79" s="406"/>
      <c r="O79" s="406">
        <v>0.6</v>
      </c>
      <c r="P79" s="406"/>
      <c r="Q79" s="406"/>
      <c r="R79" s="408" t="s">
        <v>206</v>
      </c>
    </row>
    <row r="80" spans="3:18" hidden="1" x14ac:dyDescent="0.2">
      <c r="C80" s="279" t="s">
        <v>252</v>
      </c>
      <c r="M80" s="279" t="s">
        <v>207</v>
      </c>
      <c r="N80" s="406"/>
      <c r="O80" s="406">
        <v>0.5</v>
      </c>
      <c r="P80" s="406"/>
      <c r="Q80" s="406"/>
      <c r="R80" s="408" t="s">
        <v>208</v>
      </c>
    </row>
    <row r="81" spans="3:18" hidden="1" x14ac:dyDescent="0.2">
      <c r="C81" s="279" t="s">
        <v>253</v>
      </c>
      <c r="L81" s="571" t="s">
        <v>209</v>
      </c>
      <c r="M81" s="571"/>
      <c r="N81" s="406"/>
      <c r="O81" s="406"/>
      <c r="P81" s="406"/>
      <c r="Q81" s="406"/>
      <c r="R81" s="409"/>
    </row>
    <row r="82" spans="3:18" hidden="1" x14ac:dyDescent="0.2">
      <c r="C82" s="279"/>
      <c r="M82" s="279" t="s">
        <v>210</v>
      </c>
      <c r="N82" s="406">
        <v>0.11</v>
      </c>
      <c r="O82" s="406"/>
      <c r="P82" s="406">
        <v>0.52</v>
      </c>
      <c r="Q82" s="406"/>
      <c r="R82" s="408" t="s">
        <v>211</v>
      </c>
    </row>
    <row r="83" spans="3:18" hidden="1" x14ac:dyDescent="0.2">
      <c r="M83" s="279" t="s">
        <v>212</v>
      </c>
      <c r="N83" s="406">
        <v>0.18</v>
      </c>
      <c r="O83" s="406"/>
      <c r="P83" s="406">
        <v>0.46</v>
      </c>
      <c r="Q83" s="406"/>
      <c r="R83" s="408" t="s">
        <v>213</v>
      </c>
    </row>
    <row r="84" spans="3:18" hidden="1" x14ac:dyDescent="0.2">
      <c r="C84" s="402" t="s">
        <v>244</v>
      </c>
      <c r="M84" s="279" t="s">
        <v>214</v>
      </c>
      <c r="N84" s="406">
        <v>0.1</v>
      </c>
      <c r="O84" s="406"/>
      <c r="P84" s="406">
        <v>0.34</v>
      </c>
      <c r="Q84" s="406"/>
      <c r="R84" s="408" t="s">
        <v>214</v>
      </c>
    </row>
    <row r="85" spans="3:18" hidden="1" x14ac:dyDescent="0.2">
      <c r="C85" s="279" t="s">
        <v>273</v>
      </c>
      <c r="L85" s="571" t="s">
        <v>215</v>
      </c>
      <c r="M85" s="571"/>
      <c r="N85" s="406"/>
      <c r="O85" s="406"/>
      <c r="P85" s="406"/>
      <c r="Q85" s="406"/>
      <c r="R85" s="410"/>
    </row>
    <row r="86" spans="3:18" hidden="1" x14ac:dyDescent="0.2">
      <c r="M86" s="279" t="s">
        <v>221</v>
      </c>
      <c r="N86" s="406">
        <v>0.19</v>
      </c>
      <c r="O86" s="406">
        <v>0.19</v>
      </c>
      <c r="P86" s="406">
        <v>0.19</v>
      </c>
      <c r="Q86" s="406"/>
      <c r="R86" s="408" t="s">
        <v>216</v>
      </c>
    </row>
    <row r="87" spans="3:18" hidden="1" x14ac:dyDescent="0.2">
      <c r="C87" s="411" t="str">
        <f>IF(D26=C70,C85,C27)</f>
        <v>Include Trucking in Machinery Costs</v>
      </c>
      <c r="M87" s="348"/>
      <c r="N87" s="348"/>
      <c r="O87" s="348"/>
    </row>
    <row r="88" spans="3:18" hidden="1" x14ac:dyDescent="0.2">
      <c r="O88" s="412"/>
    </row>
    <row r="89" spans="3:18" hidden="1" x14ac:dyDescent="0.2">
      <c r="C89" s="279" t="s">
        <v>374</v>
      </c>
      <c r="O89" s="402"/>
    </row>
    <row r="90" spans="3:18" hidden="1" x14ac:dyDescent="0.2">
      <c r="C90" s="279" t="s">
        <v>270</v>
      </c>
      <c r="O90" s="402"/>
    </row>
    <row r="91" spans="3:18" hidden="1" x14ac:dyDescent="0.2">
      <c r="C91" s="279" t="s">
        <v>377</v>
      </c>
      <c r="H91" s="349"/>
      <c r="I91" s="349"/>
      <c r="J91" s="349"/>
    </row>
    <row r="92" spans="3:18" hidden="1" x14ac:dyDescent="0.2">
      <c r="C92" s="279" t="s">
        <v>272</v>
      </c>
      <c r="H92" s="349"/>
      <c r="I92" s="349"/>
      <c r="J92" s="349"/>
    </row>
    <row r="93" spans="3:18" hidden="1" x14ac:dyDescent="0.2"/>
    <row r="94" spans="3:18" hidden="1" x14ac:dyDescent="0.2"/>
    <row r="95" spans="3:18" hidden="1" x14ac:dyDescent="0.2">
      <c r="C95" s="411" t="str">
        <f>IF(I21=D60,C70,D26)</f>
        <v>Calculate</v>
      </c>
    </row>
    <row r="96" spans="3:18" hidden="1" x14ac:dyDescent="0.2"/>
    <row r="97" spans="3:15" hidden="1" x14ac:dyDescent="0.2">
      <c r="C97" s="279" t="s">
        <v>452</v>
      </c>
      <c r="D97" s="413"/>
      <c r="E97" s="413"/>
      <c r="F97" s="413"/>
      <c r="G97" s="413"/>
      <c r="H97" s="413"/>
      <c r="I97" s="413"/>
      <c r="J97" s="413"/>
      <c r="K97" s="413"/>
      <c r="L97" s="413"/>
      <c r="M97" s="413"/>
      <c r="N97" s="414"/>
      <c r="O97" s="414"/>
    </row>
    <row r="98" spans="3:15" hidden="1" x14ac:dyDescent="0.2">
      <c r="C98" s="415" t="s">
        <v>453</v>
      </c>
      <c r="D98" s="414"/>
      <c r="E98" s="414"/>
      <c r="F98" s="414"/>
      <c r="G98" s="414"/>
      <c r="H98" s="414"/>
      <c r="I98" s="414"/>
      <c r="J98" s="414"/>
      <c r="K98" s="414"/>
      <c r="L98" s="414"/>
      <c r="M98" s="414"/>
      <c r="N98" s="414"/>
      <c r="O98" s="414"/>
    </row>
    <row r="99" spans="3:15" ht="12.75" customHeight="1" x14ac:dyDescent="0.2">
      <c r="C99" s="414"/>
      <c r="D99" s="414"/>
      <c r="E99" s="414"/>
      <c r="F99" s="414"/>
      <c r="G99" s="414"/>
      <c r="H99" s="414"/>
      <c r="I99" s="414"/>
      <c r="J99" s="414"/>
      <c r="K99" s="414"/>
      <c r="L99" s="414"/>
      <c r="M99" s="414"/>
      <c r="N99" s="414"/>
      <c r="O99" s="414"/>
    </row>
    <row r="100" spans="3:15" x14ac:dyDescent="0.2">
      <c r="C100" s="414"/>
      <c r="D100" s="414"/>
      <c r="E100" s="414"/>
      <c r="F100" s="414"/>
      <c r="G100" s="414"/>
      <c r="H100" s="414"/>
      <c r="I100" s="414"/>
      <c r="J100" s="414"/>
      <c r="K100" s="414"/>
      <c r="L100" s="414"/>
      <c r="M100" s="414"/>
      <c r="N100" s="414"/>
      <c r="O100" s="414"/>
    </row>
    <row r="101" spans="3:15" x14ac:dyDescent="0.2">
      <c r="D101" s="414"/>
      <c r="E101" s="414"/>
      <c r="F101" s="414"/>
      <c r="G101" s="414"/>
      <c r="H101" s="414"/>
      <c r="I101" s="414"/>
      <c r="J101" s="414"/>
      <c r="K101" s="414"/>
      <c r="L101" s="414"/>
      <c r="M101" s="414"/>
      <c r="N101" s="414"/>
      <c r="O101" s="414"/>
    </row>
    <row r="102" spans="3:15" x14ac:dyDescent="0.2">
      <c r="D102" s="414"/>
      <c r="E102" s="414"/>
      <c r="F102" s="414"/>
      <c r="G102" s="414"/>
      <c r="H102" s="414"/>
      <c r="I102" s="414"/>
      <c r="J102" s="414"/>
      <c r="K102" s="414"/>
      <c r="L102" s="414"/>
      <c r="M102" s="414"/>
      <c r="N102" s="414"/>
      <c r="O102" s="414"/>
    </row>
    <row r="103" spans="3:15" x14ac:dyDescent="0.2">
      <c r="D103" s="414"/>
      <c r="E103" s="414"/>
      <c r="F103" s="414"/>
      <c r="G103" s="414"/>
      <c r="H103" s="414"/>
      <c r="I103" s="414"/>
      <c r="J103" s="414"/>
      <c r="K103" s="414"/>
      <c r="L103" s="414"/>
      <c r="M103" s="414"/>
      <c r="N103" s="414"/>
      <c r="O103" s="414"/>
    </row>
    <row r="104" spans="3:15" x14ac:dyDescent="0.2">
      <c r="D104" s="414"/>
      <c r="E104" s="414"/>
      <c r="F104" s="414"/>
      <c r="G104" s="414"/>
      <c r="H104" s="414"/>
      <c r="I104" s="414"/>
      <c r="J104" s="414"/>
      <c r="K104" s="414"/>
      <c r="L104" s="414"/>
      <c r="M104" s="414"/>
      <c r="N104" s="414"/>
      <c r="O104" s="414"/>
    </row>
    <row r="105" spans="3:15" x14ac:dyDescent="0.2">
      <c r="D105" s="414"/>
      <c r="E105" s="414"/>
      <c r="F105" s="414"/>
      <c r="G105" s="414"/>
      <c r="H105" s="414"/>
      <c r="I105" s="414"/>
      <c r="J105" s="414"/>
      <c r="K105" s="414"/>
      <c r="L105" s="414"/>
      <c r="M105" s="414"/>
      <c r="N105" s="414"/>
      <c r="O105" s="414"/>
    </row>
    <row r="106" spans="3:15" x14ac:dyDescent="0.2">
      <c r="D106" s="414"/>
      <c r="E106" s="414"/>
      <c r="F106" s="414"/>
      <c r="G106" s="414"/>
      <c r="H106" s="414"/>
      <c r="I106" s="414"/>
      <c r="J106" s="414"/>
      <c r="K106" s="414"/>
      <c r="L106" s="414"/>
      <c r="M106" s="414"/>
      <c r="N106" s="414"/>
      <c r="O106" s="414"/>
    </row>
  </sheetData>
  <sheetProtection algorithmName="SHA-512" hashValue="4b/pl1OgsQOw+QWvXUGcgNGamlUxvGqXiGNrAitVY1DQSsjQfroG4FGMrLB7wofeF4gQf2bQKPwqCNhBcIXT4g==" saltValue="8G9hWwHpM0OxK3ZYvdfG5w==" spinCount="100000" sheet="1" objects="1" scenarios="1" formatCells="0" formatColumns="0" formatRows="0"/>
  <mergeCells count="94">
    <mergeCell ref="C13:D13"/>
    <mergeCell ref="H20:I20"/>
    <mergeCell ref="C20:D20"/>
    <mergeCell ref="C15:D15"/>
    <mergeCell ref="C14:D14"/>
    <mergeCell ref="H17:I17"/>
    <mergeCell ref="H18:I18"/>
    <mergeCell ref="C18:D18"/>
    <mergeCell ref="C17:D17"/>
    <mergeCell ref="C16:D16"/>
    <mergeCell ref="H13:I15"/>
    <mergeCell ref="C19:D19"/>
    <mergeCell ref="H19:I19"/>
    <mergeCell ref="E11:J11"/>
    <mergeCell ref="B10:J10"/>
    <mergeCell ref="C12:D12"/>
    <mergeCell ref="B9:D9"/>
    <mergeCell ref="B11:D11"/>
    <mergeCell ref="H9:I9"/>
    <mergeCell ref="H12:I12"/>
    <mergeCell ref="B2:J2"/>
    <mergeCell ref="H4:I4"/>
    <mergeCell ref="H6:I6"/>
    <mergeCell ref="H8:I8"/>
    <mergeCell ref="E5:J5"/>
    <mergeCell ref="H7:I7"/>
    <mergeCell ref="B3:J3"/>
    <mergeCell ref="C8:D8"/>
    <mergeCell ref="C7:D7"/>
    <mergeCell ref="C6:D6"/>
    <mergeCell ref="B4:D4"/>
    <mergeCell ref="L81:M81"/>
    <mergeCell ref="B48:D48"/>
    <mergeCell ref="B47:D47"/>
    <mergeCell ref="B37:J37"/>
    <mergeCell ref="C24:D24"/>
    <mergeCell ref="H41:I42"/>
    <mergeCell ref="H43:I43"/>
    <mergeCell ref="H44:I44"/>
    <mergeCell ref="E40:J40"/>
    <mergeCell ref="B38:I38"/>
    <mergeCell ref="B39:J39"/>
    <mergeCell ref="C44:D44"/>
    <mergeCell ref="C43:D43"/>
    <mergeCell ref="C42:D42"/>
    <mergeCell ref="C41:D41"/>
    <mergeCell ref="B40:D40"/>
    <mergeCell ref="L85:M85"/>
    <mergeCell ref="B45:I45"/>
    <mergeCell ref="F49:J49"/>
    <mergeCell ref="F47:J47"/>
    <mergeCell ref="F48:J48"/>
    <mergeCell ref="B46:J46"/>
    <mergeCell ref="B50:J50"/>
    <mergeCell ref="B55:J55"/>
    <mergeCell ref="B56:J56"/>
    <mergeCell ref="B51:J51"/>
    <mergeCell ref="B52:J52"/>
    <mergeCell ref="B53:J53"/>
    <mergeCell ref="B54:J54"/>
    <mergeCell ref="L73:M73"/>
    <mergeCell ref="L78:M78"/>
    <mergeCell ref="B49:D49"/>
    <mergeCell ref="C25:D25"/>
    <mergeCell ref="C22:D22"/>
    <mergeCell ref="C21:D21"/>
    <mergeCell ref="H34:I34"/>
    <mergeCell ref="C27:D27"/>
    <mergeCell ref="I26:I27"/>
    <mergeCell ref="H26:H27"/>
    <mergeCell ref="I21:I25"/>
    <mergeCell ref="H21:H25"/>
    <mergeCell ref="C23:D23"/>
    <mergeCell ref="H36:I36"/>
    <mergeCell ref="H28:I28"/>
    <mergeCell ref="C29:D29"/>
    <mergeCell ref="C33:D33"/>
    <mergeCell ref="H33:I33"/>
    <mergeCell ref="H31:I31"/>
    <mergeCell ref="C35:D35"/>
    <mergeCell ref="B36:D36"/>
    <mergeCell ref="C34:D34"/>
    <mergeCell ref="C31:D31"/>
    <mergeCell ref="C28:D28"/>
    <mergeCell ref="V11:V12"/>
    <mergeCell ref="U11:U12"/>
    <mergeCell ref="T11:T12"/>
    <mergeCell ref="S11:S12"/>
    <mergeCell ref="R11:R12"/>
    <mergeCell ref="P11:P12"/>
    <mergeCell ref="Q11:Q12"/>
    <mergeCell ref="O11:O12"/>
    <mergeCell ref="N11:N12"/>
    <mergeCell ref="L11:M12"/>
  </mergeCells>
  <phoneticPr fontId="6" type="noConversion"/>
  <conditionalFormatting sqref="E30:G30">
    <cfRule type="expression" dxfId="124" priority="261">
      <formula>$D$30=$C$67</formula>
    </cfRule>
  </conditionalFormatting>
  <conditionalFormatting sqref="E26:G26">
    <cfRule type="expression" dxfId="123" priority="264">
      <formula>$C$95=$C$71</formula>
    </cfRule>
  </conditionalFormatting>
  <conditionalFormatting sqref="C27:G27 H26:I27">
    <cfRule type="expression" dxfId="122" priority="267">
      <formula>$D$26=$C$70</formula>
    </cfRule>
  </conditionalFormatting>
  <conditionalFormatting sqref="E32:G32">
    <cfRule type="expression" dxfId="121" priority="312">
      <formula>$D$32=$C$81</formula>
    </cfRule>
  </conditionalFormatting>
  <conditionalFormatting sqref="H32:I32">
    <cfRule type="expression" dxfId="120" priority="313">
      <formula>$D$32=$C$80</formula>
    </cfRule>
  </conditionalFormatting>
  <conditionalFormatting sqref="E41:G42 E21:G25">
    <cfRule type="expression" dxfId="119" priority="323">
      <formula>$I$21=$D$61</formula>
    </cfRule>
  </conditionalFormatting>
  <conditionalFormatting sqref="C27:G27 H26:I27 J27">
    <cfRule type="expression" dxfId="118" priority="327">
      <formula>$I$21=$D$60</formula>
    </cfRule>
  </conditionalFormatting>
  <dataValidations count="9">
    <dataValidation type="list" allowBlank="1" showInputMessage="1" showErrorMessage="1" sqref="M13">
      <formula1>$M$74:$M$77</formula1>
    </dataValidation>
    <dataValidation type="list" allowBlank="1" showInputMessage="1" showErrorMessage="1" sqref="M14">
      <formula1>$M$82:$M$84</formula1>
    </dataValidation>
    <dataValidation type="list" allowBlank="1" showInputMessage="1" showErrorMessage="1" sqref="M15">
      <formula1>$M$79:$M$80</formula1>
    </dataValidation>
    <dataValidation type="list" allowBlank="1" showInputMessage="1" showErrorMessage="1" sqref="D30">
      <formula1>$C$66:$C$67</formula1>
    </dataValidation>
    <dataValidation type="list" allowBlank="1" showInputMessage="1" showErrorMessage="1" sqref="D26">
      <formula1>$C$70:$C$71</formula1>
    </dataValidation>
    <dataValidation type="list" allowBlank="1" showInputMessage="1" showErrorMessage="1" sqref="D32">
      <formula1>$C$80:$C$81</formula1>
    </dataValidation>
    <dataValidation type="list" allowBlank="1" showInputMessage="1" showErrorMessage="1" sqref="C27">
      <formula1>$C$84:$C$85</formula1>
    </dataValidation>
    <dataValidation type="list" allowBlank="1" showInputMessage="1" showErrorMessage="1" sqref="I21">
      <formula1>$D$60:$D$61</formula1>
    </dataValidation>
    <dataValidation type="list" allowBlank="1" showInputMessage="1" showErrorMessage="1" sqref="I35">
      <formula1>$C$60:$C$63</formula1>
    </dataValidation>
  </dataValidations>
  <pageMargins left="0.75" right="0.75" top="1" bottom="1"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7"/>
  <sheetViews>
    <sheetView showGridLines="0" workbookViewId="0">
      <selection activeCell="L45" sqref="L45"/>
    </sheetView>
  </sheetViews>
  <sheetFormatPr defaultColWidth="9.140625" defaultRowHeight="12.75" x14ac:dyDescent="0.2"/>
  <cols>
    <col min="1" max="1" width="3.7109375" style="421" customWidth="1"/>
    <col min="2" max="2" width="37.5703125" style="421" customWidth="1"/>
    <col min="3" max="5" width="8.28515625" style="421" customWidth="1"/>
    <col min="6" max="6" width="3.7109375" style="421" customWidth="1"/>
    <col min="7" max="8" width="14.7109375" style="421" customWidth="1"/>
    <col min="9" max="9" width="18" style="421" customWidth="1"/>
    <col min="10" max="11" width="14.7109375" style="421" customWidth="1"/>
    <col min="12" max="12" width="11.28515625" style="421" customWidth="1"/>
    <col min="13" max="13" width="3.7109375" style="421" customWidth="1"/>
    <col min="14" max="14" width="23.42578125" style="421" customWidth="1"/>
    <col min="15" max="16" width="8.7109375" style="421" customWidth="1"/>
    <col min="17" max="17" width="5.7109375" style="421" customWidth="1"/>
    <col min="18" max="21" width="14.7109375" style="421" customWidth="1"/>
    <col min="22" max="22" width="12.7109375" style="421" customWidth="1"/>
    <col min="23" max="16384" width="9.140625" style="421"/>
  </cols>
  <sheetData>
    <row r="2" spans="2:14" ht="15.75" x14ac:dyDescent="0.25">
      <c r="B2" s="612" t="s">
        <v>418</v>
      </c>
      <c r="C2" s="612"/>
      <c r="D2" s="612"/>
      <c r="E2" s="612"/>
      <c r="F2" s="612"/>
      <c r="G2" s="612"/>
      <c r="H2" s="612"/>
      <c r="I2" s="612"/>
      <c r="J2" s="612"/>
      <c r="K2" s="612"/>
      <c r="L2" s="612"/>
      <c r="M2" s="420"/>
      <c r="N2" s="420"/>
    </row>
    <row r="3" spans="2:14" ht="5.0999999999999996" customHeight="1" x14ac:dyDescent="0.25">
      <c r="B3" s="611"/>
      <c r="C3" s="611"/>
      <c r="D3" s="611"/>
      <c r="E3" s="611"/>
      <c r="F3" s="611"/>
      <c r="G3" s="611"/>
      <c r="H3" s="611"/>
      <c r="I3" s="611"/>
      <c r="J3" s="611"/>
      <c r="K3" s="611"/>
      <c r="L3" s="611"/>
      <c r="M3" s="420"/>
      <c r="N3" s="420"/>
    </row>
    <row r="4" spans="2:14" ht="12.95" customHeight="1" x14ac:dyDescent="0.2">
      <c r="B4" s="98"/>
      <c r="C4" s="642"/>
      <c r="D4" s="642"/>
      <c r="E4" s="644" t="s">
        <v>127</v>
      </c>
      <c r="F4" s="644"/>
      <c r="G4" s="644"/>
      <c r="H4" s="644"/>
      <c r="I4" s="644"/>
      <c r="J4" s="644"/>
      <c r="K4" s="644"/>
      <c r="L4" s="644"/>
      <c r="M4" s="94"/>
    </row>
    <row r="5" spans="2:14" ht="12.95" customHeight="1" x14ac:dyDescent="0.2">
      <c r="B5" s="98" t="s">
        <v>161</v>
      </c>
      <c r="C5" s="652">
        <v>1.75</v>
      </c>
      <c r="D5" s="652"/>
      <c r="E5" s="640" t="s">
        <v>317</v>
      </c>
      <c r="F5" s="640"/>
      <c r="G5" s="640"/>
      <c r="H5" s="640"/>
      <c r="I5" s="640"/>
      <c r="J5" s="640"/>
      <c r="K5" s="640"/>
      <c r="L5" s="640"/>
    </row>
    <row r="6" spans="2:14" ht="12.95" customHeight="1" thickBot="1" x14ac:dyDescent="0.25">
      <c r="B6" s="98" t="s">
        <v>162</v>
      </c>
      <c r="C6" s="622">
        <v>15</v>
      </c>
      <c r="D6" s="622"/>
      <c r="E6" s="640" t="s">
        <v>100</v>
      </c>
      <c r="F6" s="640"/>
      <c r="G6" s="640"/>
      <c r="H6" s="640"/>
      <c r="I6" s="640"/>
      <c r="J6" s="640"/>
      <c r="K6" s="640"/>
      <c r="L6" s="640"/>
    </row>
    <row r="7" spans="2:14" ht="12.95" customHeight="1" thickBot="1" x14ac:dyDescent="0.25">
      <c r="B7" s="422" t="s">
        <v>124</v>
      </c>
      <c r="C7" s="621" t="s">
        <v>51</v>
      </c>
      <c r="D7" s="621"/>
      <c r="E7" s="643" t="s">
        <v>254</v>
      </c>
      <c r="F7" s="640"/>
      <c r="G7" s="640"/>
      <c r="H7" s="640"/>
      <c r="I7" s="640"/>
      <c r="J7" s="640"/>
      <c r="K7" s="640"/>
      <c r="L7" s="640"/>
    </row>
    <row r="8" spans="2:14" ht="12.95" customHeight="1" x14ac:dyDescent="0.2">
      <c r="B8" s="98" t="s">
        <v>163</v>
      </c>
      <c r="C8" s="620">
        <v>12.5</v>
      </c>
      <c r="D8" s="620"/>
      <c r="E8" s="624" t="s">
        <v>99</v>
      </c>
      <c r="F8" s="624"/>
      <c r="G8" s="624"/>
      <c r="H8" s="624"/>
      <c r="I8" s="624"/>
      <c r="J8" s="624"/>
      <c r="K8" s="624"/>
      <c r="L8" s="624"/>
    </row>
    <row r="9" spans="2:14" ht="12.95" customHeight="1" thickBot="1" x14ac:dyDescent="0.25">
      <c r="B9" s="98" t="s">
        <v>70</v>
      </c>
      <c r="C9" s="619">
        <v>0</v>
      </c>
      <c r="D9" s="619"/>
      <c r="E9" s="624" t="s">
        <v>107</v>
      </c>
      <c r="F9" s="624"/>
      <c r="G9" s="624"/>
      <c r="H9" s="624"/>
      <c r="I9" s="624"/>
      <c r="J9" s="624"/>
      <c r="K9" s="624"/>
      <c r="L9" s="624"/>
    </row>
    <row r="10" spans="2:14" ht="12.95" customHeight="1" thickBot="1" x14ac:dyDescent="0.25">
      <c r="B10" s="423" t="s">
        <v>454</v>
      </c>
      <c r="C10" s="647" t="s">
        <v>366</v>
      </c>
      <c r="D10" s="647"/>
      <c r="E10" s="645" t="s">
        <v>457</v>
      </c>
      <c r="F10" s="646"/>
      <c r="G10" s="646"/>
      <c r="H10" s="646"/>
      <c r="I10" s="646"/>
      <c r="J10" s="646"/>
      <c r="K10" s="646"/>
      <c r="L10" s="646"/>
    </row>
    <row r="11" spans="2:14" ht="12.95" customHeight="1" x14ac:dyDescent="0.2">
      <c r="B11" s="100" t="s">
        <v>455</v>
      </c>
      <c r="C11" s="424">
        <v>0.75</v>
      </c>
      <c r="D11" s="472">
        <v>0.75</v>
      </c>
      <c r="E11" s="624" t="s">
        <v>343</v>
      </c>
      <c r="F11" s="624"/>
      <c r="G11" s="624"/>
      <c r="H11" s="624"/>
      <c r="I11" s="624"/>
      <c r="J11" s="624"/>
      <c r="K11" s="624"/>
      <c r="L11" s="624"/>
    </row>
    <row r="12" spans="2:14" ht="12.95" customHeight="1" x14ac:dyDescent="0.2">
      <c r="B12" s="100" t="s">
        <v>456</v>
      </c>
      <c r="C12" s="425">
        <v>0.35</v>
      </c>
      <c r="D12" s="473">
        <v>0.35</v>
      </c>
      <c r="E12" s="629" t="s">
        <v>406</v>
      </c>
      <c r="F12" s="630"/>
      <c r="G12" s="630"/>
      <c r="H12" s="630"/>
      <c r="I12" s="630"/>
      <c r="J12" s="630"/>
      <c r="K12" s="630"/>
      <c r="L12" s="631"/>
    </row>
    <row r="13" spans="2:14" x14ac:dyDescent="0.2">
      <c r="B13" s="94"/>
      <c r="C13" s="94"/>
      <c r="D13" s="94"/>
      <c r="E13" s="94"/>
      <c r="F13" s="94"/>
      <c r="G13" s="623"/>
      <c r="H13" s="623"/>
      <c r="I13" s="623"/>
      <c r="J13" s="623"/>
      <c r="K13" s="623"/>
      <c r="L13" s="623"/>
      <c r="M13" s="623"/>
    </row>
    <row r="14" spans="2:14" ht="15.75" x14ac:dyDescent="0.25">
      <c r="B14" s="612" t="str">
        <f>IF(GMO!I21=GMO!D61,"Machinery Operations - Corn","Machinery Calculations is not currently visible because user has selected N for Calculate Machinery Costs. This can be changed on the Corn sheet.")</f>
        <v>Machinery Operations - Corn</v>
      </c>
      <c r="C14" s="612"/>
      <c r="D14" s="612"/>
      <c r="E14" s="612"/>
      <c r="F14" s="612"/>
      <c r="G14" s="612"/>
      <c r="H14" s="612"/>
      <c r="I14" s="612"/>
      <c r="J14" s="612"/>
      <c r="K14" s="612"/>
      <c r="L14" s="612"/>
    </row>
    <row r="15" spans="2:14" ht="5.0999999999999996" customHeight="1" thickBot="1" x14ac:dyDescent="0.3">
      <c r="B15" s="611"/>
      <c r="C15" s="641"/>
      <c r="D15" s="641"/>
      <c r="E15" s="641"/>
      <c r="F15" s="611"/>
      <c r="G15" s="611"/>
      <c r="H15" s="611"/>
      <c r="I15" s="611"/>
      <c r="J15" s="611"/>
      <c r="K15" s="611"/>
      <c r="L15" s="611"/>
    </row>
    <row r="16" spans="2:14" ht="12.95" customHeight="1" thickBot="1" x14ac:dyDescent="0.25">
      <c r="B16" s="426" t="s">
        <v>350</v>
      </c>
      <c r="C16" s="614" t="s">
        <v>226</v>
      </c>
      <c r="D16" s="614"/>
      <c r="E16" s="614"/>
      <c r="F16" s="427"/>
      <c r="G16" s="615" t="s">
        <v>387</v>
      </c>
      <c r="H16" s="615"/>
      <c r="I16" s="615"/>
      <c r="J16" s="615"/>
      <c r="K16" s="615"/>
      <c r="L16" s="615"/>
      <c r="M16" s="428"/>
      <c r="N16" s="344"/>
    </row>
    <row r="17" spans="1:14" ht="12.95" customHeight="1" thickBot="1" x14ac:dyDescent="0.25">
      <c r="A17" s="429"/>
      <c r="B17" s="430" t="s">
        <v>390</v>
      </c>
      <c r="C17" s="613" t="s">
        <v>366</v>
      </c>
      <c r="D17" s="613"/>
      <c r="E17" s="613"/>
      <c r="F17" s="431"/>
      <c r="G17" s="616" t="s">
        <v>386</v>
      </c>
      <c r="H17" s="617"/>
      <c r="I17" s="617"/>
      <c r="J17" s="617"/>
      <c r="K17" s="617"/>
      <c r="L17" s="618"/>
      <c r="M17" s="432"/>
      <c r="N17" s="94"/>
    </row>
    <row r="18" spans="1:14" ht="5.0999999999999996" customHeight="1" thickBot="1" x14ac:dyDescent="0.25">
      <c r="A18" s="429"/>
      <c r="B18" s="625"/>
      <c r="C18" s="626"/>
      <c r="D18" s="626"/>
      <c r="E18" s="626"/>
      <c r="F18" s="627"/>
      <c r="G18" s="627"/>
      <c r="H18" s="627"/>
      <c r="I18" s="627"/>
      <c r="J18" s="627"/>
      <c r="K18" s="627"/>
      <c r="L18" s="628"/>
      <c r="M18" s="428"/>
    </row>
    <row r="19" spans="1:14" ht="12.95" customHeight="1" thickBot="1" x14ac:dyDescent="0.25">
      <c r="B19" s="98" t="s">
        <v>126</v>
      </c>
      <c r="C19" s="650"/>
      <c r="D19" s="651"/>
      <c r="E19" s="98"/>
      <c r="F19" s="422"/>
      <c r="G19" s="479" t="s">
        <v>79</v>
      </c>
      <c r="H19" s="479" t="s">
        <v>79</v>
      </c>
      <c r="I19" s="479" t="s">
        <v>79</v>
      </c>
      <c r="J19" s="479" t="s">
        <v>79</v>
      </c>
      <c r="K19" s="479" t="s">
        <v>79</v>
      </c>
      <c r="L19" s="433"/>
      <c r="M19" s="434"/>
    </row>
    <row r="20" spans="1:14" ht="12.95" customHeight="1" x14ac:dyDescent="0.2">
      <c r="B20" s="98" t="s">
        <v>125</v>
      </c>
      <c r="C20" s="650"/>
      <c r="D20" s="651"/>
      <c r="E20" s="610" t="s">
        <v>50</v>
      </c>
      <c r="F20" s="422"/>
      <c r="G20" s="480">
        <v>0</v>
      </c>
      <c r="H20" s="480">
        <v>0</v>
      </c>
      <c r="I20" s="480">
        <v>0</v>
      </c>
      <c r="J20" s="480">
        <v>0</v>
      </c>
      <c r="K20" s="480">
        <v>0</v>
      </c>
      <c r="L20" s="433"/>
      <c r="M20" s="94"/>
    </row>
    <row r="21" spans="1:14" ht="12.95" customHeight="1" thickBot="1" x14ac:dyDescent="0.25">
      <c r="B21" s="435" t="s">
        <v>235</v>
      </c>
      <c r="C21" s="648" t="s">
        <v>232</v>
      </c>
      <c r="D21" s="649"/>
      <c r="E21" s="610"/>
      <c r="F21" s="363"/>
      <c r="G21" s="436" t="s">
        <v>233</v>
      </c>
      <c r="H21" s="437" t="s">
        <v>8</v>
      </c>
      <c r="I21" s="437" t="s">
        <v>323</v>
      </c>
      <c r="J21" s="436" t="s">
        <v>234</v>
      </c>
      <c r="K21" s="436" t="s">
        <v>50</v>
      </c>
      <c r="L21" s="438" t="s">
        <v>246</v>
      </c>
      <c r="M21" s="439"/>
    </row>
    <row r="22" spans="1:14" ht="12.95" customHeight="1" thickBot="1" x14ac:dyDescent="0.25">
      <c r="B22" s="100" t="s">
        <v>142</v>
      </c>
      <c r="C22" s="440">
        <f>IF($C$16=$B$69,'Machinery Calc (GMO)'!B32,'Machinery Calc (GMO)'!C40)</f>
        <v>1</v>
      </c>
      <c r="D22" s="474">
        <v>1</v>
      </c>
      <c r="E22" s="475" t="s">
        <v>90</v>
      </c>
      <c r="F22" s="441"/>
      <c r="G22" s="442">
        <f>IF(C16=B69,'Machinery Calc (GMO)'!U32,'Machinery Calc (GMO)'!U40)</f>
        <v>1.6014468749999997</v>
      </c>
      <c r="H22" s="442">
        <f>IF(C16=B69,'Machinery Calc (GMO)'!X32,'Machinery Calc (GMO)'!X40)</f>
        <v>5.5868648229166675</v>
      </c>
      <c r="I22" s="443">
        <f>IF(C16=B69,'Machinery Calc (GMO)'!Y32,'Machinery Calc (GMO)'!Y40)</f>
        <v>11.343028579861112</v>
      </c>
      <c r="J22" s="442">
        <f>IF(C16=B69,'Machinery Calc (GMO)'!V32+'Machinery Calc (GMO)'!W32,'Machinery Calc (GMO)'!V40+'Machinery Calc (GMO)'!W40)</f>
        <v>1.7697222222222222</v>
      </c>
      <c r="K22" s="442">
        <f>IF(C16=B69,'Machinery Calc (GMO)'!Z32,'Machinery Calc (GMO)'!Z40)</f>
        <v>0</v>
      </c>
      <c r="L22" s="444">
        <f t="shared" ref="L22:L29" si="0">SUM(G22:K22)</f>
        <v>20.3010625</v>
      </c>
      <c r="M22" s="94"/>
    </row>
    <row r="23" spans="1:14" ht="12.95" customHeight="1" thickBot="1" x14ac:dyDescent="0.25">
      <c r="B23" s="100" t="s">
        <v>280</v>
      </c>
      <c r="C23" s="440">
        <f>IF($C$16=$B$69,'Machinery Calc (GMO)'!B63,'Machinery Calc (GMO)'!C63)</f>
        <v>2.5</v>
      </c>
      <c r="D23" s="476">
        <v>2.5</v>
      </c>
      <c r="E23" s="475" t="s">
        <v>90</v>
      </c>
      <c r="F23" s="445"/>
      <c r="G23" s="442">
        <f>'Machinery Calc (GMO)'!U63</f>
        <v>0.59494531250000005</v>
      </c>
      <c r="H23" s="442">
        <f>'Machinery Calc (GMO)'!X63</f>
        <v>5.5398414843750015</v>
      </c>
      <c r="I23" s="443">
        <f>'Machinery Calc (GMO)'!Y63</f>
        <v>11.247556953124999</v>
      </c>
      <c r="J23" s="442">
        <f>'Machinery Calc (GMO)'!V63+'Machinery Calc (GMO)'!W63</f>
        <v>1.29375</v>
      </c>
      <c r="K23" s="442">
        <f>'Machinery Calc (GMO)'!Z63</f>
        <v>0</v>
      </c>
      <c r="L23" s="444">
        <f t="shared" si="0"/>
        <v>18.67609375</v>
      </c>
      <c r="M23" s="94"/>
    </row>
    <row r="24" spans="1:14" ht="12.95" customHeight="1" thickBot="1" x14ac:dyDescent="0.25">
      <c r="B24" s="100" t="s">
        <v>392</v>
      </c>
      <c r="C24" s="440">
        <f>IF($C$16=$B$69,'Machinery Calc (GMO)'!B56,'Machinery Calc (GMO)'!C56)</f>
        <v>2</v>
      </c>
      <c r="D24" s="476">
        <v>2</v>
      </c>
      <c r="E24" s="475" t="s">
        <v>90</v>
      </c>
      <c r="F24" s="441"/>
      <c r="G24" s="442">
        <f>'Machinery Calc (GMO)'!U56</f>
        <v>1.3074745263203018</v>
      </c>
      <c r="H24" s="442">
        <f>'Machinery Calc (GMO)'!X56</f>
        <v>3.3593742673206259</v>
      </c>
      <c r="I24" s="443">
        <f>'Machinery Calc (GMO)'!Y56</f>
        <v>6.820547754863088</v>
      </c>
      <c r="J24" s="442">
        <f>'Machinery Calc (GMO)'!V56+'Machinery Calc (GMO)'!W56</f>
        <v>1.3501842556797974</v>
      </c>
      <c r="K24" s="442">
        <f>'Machinery Calc (GMO)'!Z56</f>
        <v>0</v>
      </c>
      <c r="L24" s="444">
        <f t="shared" si="0"/>
        <v>12.837580804183814</v>
      </c>
      <c r="M24" s="95"/>
    </row>
    <row r="25" spans="1:14" ht="12.95" customHeight="1" thickBot="1" x14ac:dyDescent="0.25">
      <c r="B25" s="100" t="s">
        <v>393</v>
      </c>
      <c r="C25" s="440">
        <f>IF($C$16=$B$69,'Machinery Calc (GMO)'!B59,'Machinery Calc (GMO)'!C59)</f>
        <v>0</v>
      </c>
      <c r="D25" s="476">
        <v>0</v>
      </c>
      <c r="E25" s="475" t="s">
        <v>90</v>
      </c>
      <c r="F25" s="441"/>
      <c r="G25" s="442">
        <f>'Machinery Calc (GMO)'!U59</f>
        <v>0</v>
      </c>
      <c r="H25" s="442">
        <f>'Machinery Calc (GMO)'!X59</f>
        <v>0</v>
      </c>
      <c r="I25" s="443">
        <f>'Machinery Calc (GMO)'!Y59</f>
        <v>0</v>
      </c>
      <c r="J25" s="442">
        <f>'Machinery Calc (GMO)'!V59+'Machinery Calc (GMO)'!W59</f>
        <v>0</v>
      </c>
      <c r="K25" s="442">
        <f>'Machinery Calc (GMO)'!Z59</f>
        <v>0</v>
      </c>
      <c r="L25" s="444">
        <f t="shared" si="0"/>
        <v>0</v>
      </c>
      <c r="M25" s="95"/>
    </row>
    <row r="26" spans="1:14" ht="12.95" customHeight="1" thickBot="1" x14ac:dyDescent="0.25">
      <c r="B26" s="100" t="s">
        <v>305</v>
      </c>
      <c r="C26" s="440">
        <f>IF($C$16=$B$69,'Machinery Calc (GMO)'!B47,'Machinery Calc (GMO)'!C47)</f>
        <v>1</v>
      </c>
      <c r="D26" s="476">
        <v>1</v>
      </c>
      <c r="E26" s="475" t="s">
        <v>90</v>
      </c>
      <c r="F26" s="441"/>
      <c r="G26" s="442">
        <f>'Machinery Calc (GMO)'!U47</f>
        <v>4.5276218749999995</v>
      </c>
      <c r="H26" s="442">
        <f>'Machinery Calc (GMO)'!X47</f>
        <v>7.9658137395833331</v>
      </c>
      <c r="I26" s="443">
        <f>'Machinery Calc (GMO)'!Y47</f>
        <v>16.173015774305554</v>
      </c>
      <c r="J26" s="442">
        <f>'Machinery Calc (GMO)'!V47+'Machinery Calc (GMO)'!W47</f>
        <v>3.2711111111111109</v>
      </c>
      <c r="K26" s="442">
        <f>'Machinery Calc (GMO)'!Z47</f>
        <v>0</v>
      </c>
      <c r="L26" s="444">
        <f t="shared" si="0"/>
        <v>31.937562499999999</v>
      </c>
      <c r="M26" s="95"/>
    </row>
    <row r="27" spans="1:14" ht="12.95" customHeight="1" thickBot="1" x14ac:dyDescent="0.25">
      <c r="B27" s="100" t="s">
        <v>47</v>
      </c>
      <c r="C27" s="440">
        <f>IF($C$16=$B$69,'Machinery Calc (GMO)'!B50,'Machinery Calc (GMO)'!C50)</f>
        <v>1</v>
      </c>
      <c r="D27" s="476">
        <v>1</v>
      </c>
      <c r="E27" s="475" t="s">
        <v>90</v>
      </c>
      <c r="F27" s="441"/>
      <c r="G27" s="442">
        <f>'Machinery Calc (GMO)'!U50</f>
        <v>0.32200000000000001</v>
      </c>
      <c r="H27" s="442">
        <f>'Machinery Calc (GMO)'!X50</f>
        <v>1.1262900000000002</v>
      </c>
      <c r="I27" s="443">
        <f>'Machinery Calc (GMO)'!Y50</f>
        <v>2.2867100000000002</v>
      </c>
      <c r="J27" s="442">
        <f>'Machinery Calc (GMO)'!V50+'Machinery Calc (GMO)'!W50</f>
        <v>1.7249999999999999</v>
      </c>
      <c r="K27" s="442">
        <f>'Machinery Calc (GMO)'!Z50</f>
        <v>0</v>
      </c>
      <c r="L27" s="444">
        <f t="shared" si="0"/>
        <v>5.46</v>
      </c>
      <c r="M27" s="95"/>
    </row>
    <row r="28" spans="1:14" ht="12.95" customHeight="1" thickBot="1" x14ac:dyDescent="0.25">
      <c r="B28" s="100" t="s">
        <v>329</v>
      </c>
      <c r="C28" s="440">
        <f>IF($C$16=$B$69,'Machinery Calc (GMO)'!B25,'Machinery Calc (GMO)'!C25)</f>
        <v>0</v>
      </c>
      <c r="D28" s="476">
        <v>2</v>
      </c>
      <c r="E28" s="475" t="s">
        <v>90</v>
      </c>
      <c r="F28" s="441"/>
      <c r="G28" s="442">
        <f>'Machinery Calc (GMO)'!U25</f>
        <v>0</v>
      </c>
      <c r="H28" s="442">
        <f>'Machinery Calc (GMO)'!X25</f>
        <v>0</v>
      </c>
      <c r="I28" s="443">
        <f>'Machinery Calc (GMO)'!Y25</f>
        <v>0</v>
      </c>
      <c r="J28" s="442">
        <f>'Machinery Calc (GMO)'!V25+'Machinery Calc (GMO)'!W25</f>
        <v>0</v>
      </c>
      <c r="K28" s="442">
        <f>'Machinery Calc (GMO)'!Z25</f>
        <v>0</v>
      </c>
      <c r="L28" s="444">
        <f t="shared" si="0"/>
        <v>0</v>
      </c>
      <c r="M28" s="94"/>
    </row>
    <row r="29" spans="1:14" ht="12.95" customHeight="1" thickBot="1" x14ac:dyDescent="0.25">
      <c r="B29" s="100" t="s">
        <v>291</v>
      </c>
      <c r="C29" s="440"/>
      <c r="D29" s="477"/>
      <c r="E29" s="478" t="s">
        <v>90</v>
      </c>
      <c r="F29" s="445"/>
      <c r="G29" s="442">
        <f>'Machinery Calc (GMO)'!U51</f>
        <v>3.2411842105263156</v>
      </c>
      <c r="H29" s="442">
        <f>'Machinery Calc (GMO)'!X51</f>
        <v>5.7118227563251764</v>
      </c>
      <c r="I29" s="443">
        <f>'Machinery Calc (GMO)'!Y51</f>
        <v>11.596731050720813</v>
      </c>
      <c r="J29" s="442">
        <f>'Machinery Calc (GMO)'!V51+'Machinery Calc (GMO)'!W51</f>
        <v>5.666666666666667</v>
      </c>
      <c r="K29" s="442">
        <f>'Machinery Calc (GMO)'!Z51</f>
        <v>0</v>
      </c>
      <c r="L29" s="444">
        <f t="shared" si="0"/>
        <v>26.21640468423897</v>
      </c>
      <c r="M29" s="94"/>
    </row>
    <row r="30" spans="1:14" ht="5.0999999999999996" customHeight="1" x14ac:dyDescent="0.2">
      <c r="B30" s="636"/>
      <c r="C30" s="637"/>
      <c r="D30" s="637"/>
      <c r="E30" s="638"/>
      <c r="F30" s="637"/>
      <c r="G30" s="637"/>
      <c r="H30" s="637"/>
      <c r="I30" s="637"/>
      <c r="J30" s="637"/>
      <c r="K30" s="637"/>
      <c r="L30" s="639"/>
      <c r="M30" s="94"/>
    </row>
    <row r="31" spans="1:14" ht="12.95" customHeight="1" thickBot="1" x14ac:dyDescent="0.25">
      <c r="B31" s="632" t="s">
        <v>371</v>
      </c>
      <c r="C31" s="633"/>
      <c r="D31" s="633"/>
      <c r="E31" s="634"/>
      <c r="F31" s="633"/>
      <c r="G31" s="633"/>
      <c r="H31" s="633"/>
      <c r="I31" s="633"/>
      <c r="J31" s="633"/>
      <c r="K31" s="633"/>
      <c r="L31" s="635"/>
      <c r="M31" s="94"/>
    </row>
    <row r="32" spans="1:14" ht="12.95" customHeight="1" thickBot="1" x14ac:dyDescent="0.25">
      <c r="B32" s="481" t="s">
        <v>367</v>
      </c>
      <c r="C32" s="446">
        <f>IF(B32=G51,L51,IF(B32=G52,L52,0))</f>
        <v>0</v>
      </c>
      <c r="D32" s="476">
        <v>0.5</v>
      </c>
      <c r="E32" s="475" t="s">
        <v>90</v>
      </c>
      <c r="F32" s="445"/>
      <c r="G32" s="447">
        <f>IF(B32=G50,0,IF(B32=G51,IF(C16=B69,'Machinery Calc (GMO)'!U37,'Machinery Calc (GMO)'!U44),IF(B32=G52,IF(C16=B69,'Machinery Calc (GMO)'!U36,'Machinery Calc (GMO)'!U43))))</f>
        <v>0</v>
      </c>
      <c r="H32" s="447">
        <f>IF(B32=G50,0,IF(B32=G51,IF(C16=B69,'Machinery Calc (GMO)'!X37,'Machinery Calc (GMO)'!X44),IF(B32=G52,IF(C16=B69,'Machinery Calc (GMO)'!X36,'Machinery Calc (GMO)'!X43))))</f>
        <v>0</v>
      </c>
      <c r="I32" s="448">
        <f>IF(B32=G50,0,IF(B32=G51,IF(C16=B69,'Machinery Calc (GMO)'!Y37,'Machinery Calc (GMO)'!Y44),IF(B32=G52,IF(C16=B69,'Machinery Calc (GMO)'!Y36,'Machinery Calc (GMO)'!Y43))))</f>
        <v>0</v>
      </c>
      <c r="J32" s="447">
        <f>IF(B32=G50,0,IF(B32=G51,IF(C16=B69,'Machinery Calc (GMO)'!V37+'Machinery Calc (GMO)'!W37,'Machinery Calc (GMO)'!V44+'Machinery Calc (GMO)'!W44),IF(B32=G52,IF(C16=B69,'Machinery Calc (GMO)'!V36+'Machinery Calc (GMO)'!W36,'Machinery Calc (GMO)'!V43+'Machinery Calc (GMO)'!W43))))</f>
        <v>0</v>
      </c>
      <c r="K32" s="447">
        <f>IF(B32=G50,0,IF(B32=G51,IF(C16=B69,'Machinery Calc (GMO)'!Z37,'Machinery Calc (GMO)'!Z44),IF(B32=G52,IF(C16=B69,'Machinery Calc (GMO)'!Z36,'Machinery Calc (GMO)'!Z43))))</f>
        <v>0</v>
      </c>
      <c r="L32" s="444">
        <f>SUM(G32:K32)</f>
        <v>0</v>
      </c>
      <c r="M32" s="94"/>
      <c r="N32" s="449" t="s">
        <v>331</v>
      </c>
    </row>
    <row r="33" spans="2:18" ht="12.95" customHeight="1" thickBot="1" x14ac:dyDescent="0.25">
      <c r="B33" s="481" t="s">
        <v>369</v>
      </c>
      <c r="C33" s="446">
        <f>IF(B33=G53,0,IF(C16=B68,'Machinery Calc (GMO)'!C29,'Machinery Calc (GMO)'!B29))</f>
        <v>0</v>
      </c>
      <c r="D33" s="476">
        <v>0.5</v>
      </c>
      <c r="E33" s="475" t="s">
        <v>90</v>
      </c>
      <c r="F33" s="450"/>
      <c r="G33" s="447">
        <f>IF(B33=G54,'Machinery Calc (GMO)'!U29,0)</f>
        <v>0</v>
      </c>
      <c r="H33" s="447">
        <f>IF(B33=G54,'Machinery Calc (GMO)'!X29,0)</f>
        <v>0</v>
      </c>
      <c r="I33" s="448">
        <f>IF(B33=G54,'Machinery Calc (GMO)'!Y29,0)</f>
        <v>0</v>
      </c>
      <c r="J33" s="447">
        <f>IF(B33=G54,'Machinery Calc (GMO)'!V29+'Machinery Calc (GMO)'!W29,0)</f>
        <v>0</v>
      </c>
      <c r="K33" s="447">
        <f>IF(B33=G54,'Machinery Calc (GMO)'!Z29,0)</f>
        <v>0</v>
      </c>
      <c r="L33" s="444">
        <f>SUM(G33:K33)</f>
        <v>0</v>
      </c>
      <c r="N33" s="449" t="s">
        <v>331</v>
      </c>
    </row>
    <row r="34" spans="2:18" ht="12.95" customHeight="1" thickBot="1" x14ac:dyDescent="0.25">
      <c r="B34" s="481" t="s">
        <v>363</v>
      </c>
      <c r="C34" s="446">
        <f>IF(B34=G56,'Machinery Calc (GMO)'!B21,IF(B34=G57,'Machinery Calc (GMO)'!B22,IF(B34=G58,'Machinery Calc (GMO)'!B27,0)))</f>
        <v>0</v>
      </c>
      <c r="D34" s="476">
        <v>0.5</v>
      </c>
      <c r="E34" s="475" t="s">
        <v>90</v>
      </c>
      <c r="F34" s="445"/>
      <c r="G34" s="447">
        <f>IF(B34=G56,'Machinery Calc (GMO)'!U21,IF(B34=G57,'Machinery Calc (GMO)'!U22,IF(B34=G58,'Machinery Calc (GMO)'!U27,0)))</f>
        <v>0</v>
      </c>
      <c r="H34" s="447">
        <f>IF(B34=G56,'Machinery Calc (GMO)'!X21,IF(B34=G57,'Machinery Calc (GMO)'!X22,IF(B34=G58,'Machinery Calc (GMO)'!X27,0)))</f>
        <v>0</v>
      </c>
      <c r="I34" s="448">
        <f>IF(B34=G56,'Machinery Calc (GMO)'!Y21,IF(B34=G57,'Machinery Calc (GMO)'!Y22,IF(B34=G58,'Machinery Calc (GMO)'!Y27,0)))</f>
        <v>0</v>
      </c>
      <c r="J34" s="447">
        <f>IF(B34=G56,'Machinery Calc (GMO)'!V21+'Machinery Calc (GMO)'!W21,IF(B34=G57,'Machinery Calc (GMO)'!V22+'Machinery Calc (GMO)'!W22,IF(B34=G58,'Machinery Calc (GMO)'!V27+'Machinery Calc (GMO)'!W27,0)))</f>
        <v>0</v>
      </c>
      <c r="K34" s="447">
        <f>IF(B34=G56,'Machinery Calc (GMO)'!Z21,IF(B34=G57,'Machinery Calc (GMO)'!Z22,IF(B34=G58,'Machinery Calc (GMO)'!Z27,0)))</f>
        <v>0</v>
      </c>
      <c r="L34" s="444">
        <f>SUM(G34:K34)</f>
        <v>0</v>
      </c>
      <c r="M34" s="94"/>
      <c r="N34" s="449" t="s">
        <v>331</v>
      </c>
    </row>
    <row r="35" spans="2:18" ht="12.95" customHeight="1" thickBot="1" x14ac:dyDescent="0.25">
      <c r="B35" s="481" t="s">
        <v>363</v>
      </c>
      <c r="C35" s="451">
        <f>IF(B35=G60,'Machinery Calc (GMO)'!B21,IF(B35=G61,'Machinery Calc (GMO)'!B22,IF(B35=G62,'Machinery Calc (GMO)'!B27,0)))</f>
        <v>0</v>
      </c>
      <c r="D35" s="476">
        <v>0.5</v>
      </c>
      <c r="E35" s="475" t="s">
        <v>90</v>
      </c>
      <c r="F35" s="445"/>
      <c r="G35" s="447">
        <f>IF(B35=G60,'Machinery Calc (GMO)'!U21,IF(B35=G61,'Machinery Calc (GMO)'!U22,IF(B35=G62,'Machinery Calc (GMO)'!U27,0)))</f>
        <v>0</v>
      </c>
      <c r="H35" s="447">
        <f>IF(B35=G60,'Machinery Calc (GMO)'!X21,IF(B35=G61,'Machinery Calc (GMO)'!X22,IF(B35=G62,'Machinery Calc (GMO)'!X27,0)))</f>
        <v>0</v>
      </c>
      <c r="I35" s="448">
        <f>IF(B35=G60,'Machinery Calc (GMO)'!Y21,IF(B35=G61,'Machinery Calc (GMO)'!Y22,IF(B35=G62,'Machinery Calc (GMO)'!Y27,0)))</f>
        <v>0</v>
      </c>
      <c r="J35" s="447">
        <f>IF(B35=G60,'Machinery Calc (GMO)'!V21+'Machinery Calc (GMO)'!W21,IF(B35=G61,'Machinery Calc (GMO)'!V22+'Machinery Calc (GMO)'!W22,IF(B35=G62,'Machinery Calc (GMO)'!V27+'Machinery Calc (GMO)'!W27,0)))</f>
        <v>0</v>
      </c>
      <c r="K35" s="447">
        <f>IF(B35=G60,'Machinery Calc (GMO)'!Z21,IF(B35=G61,'Machinery Calc (GMO)'!Z22,IF(B35=G62,'Machinery Calc (GMO)'!Z27,0)))</f>
        <v>0</v>
      </c>
      <c r="L35" s="444">
        <f>SUM(G35:K35)</f>
        <v>0</v>
      </c>
      <c r="M35" s="94"/>
      <c r="N35" s="449" t="s">
        <v>331</v>
      </c>
    </row>
    <row r="36" spans="2:18" ht="12.95" customHeight="1" x14ac:dyDescent="0.2">
      <c r="B36" s="452"/>
      <c r="C36" s="653" t="s">
        <v>460</v>
      </c>
      <c r="D36" s="654"/>
      <c r="E36" s="660"/>
      <c r="F36" s="661"/>
      <c r="G36" s="661"/>
      <c r="H36" s="661"/>
      <c r="I36" s="661"/>
      <c r="J36" s="661"/>
      <c r="K36" s="661"/>
      <c r="L36" s="654"/>
      <c r="M36" s="94"/>
    </row>
    <row r="37" spans="2:18" ht="12.95" customHeight="1" x14ac:dyDescent="0.2">
      <c r="B37" s="100" t="s">
        <v>458</v>
      </c>
      <c r="C37" s="655">
        <f>IF(C10=B73,C11,D11)</f>
        <v>0.75</v>
      </c>
      <c r="D37" s="656"/>
      <c r="E37" s="453"/>
      <c r="F37" s="454"/>
      <c r="G37" s="447" t="s">
        <v>288</v>
      </c>
      <c r="H37" s="447" t="s">
        <v>288</v>
      </c>
      <c r="I37" s="443" t="s">
        <v>288</v>
      </c>
      <c r="J37" s="447">
        <f>'Machinery Calc (GMO)'!V71+'Machinery Calc (GMO)'!W71</f>
        <v>11.25</v>
      </c>
      <c r="K37" s="443" t="s">
        <v>288</v>
      </c>
      <c r="L37" s="455">
        <f>SUM(G37:K37)</f>
        <v>11.25</v>
      </c>
      <c r="M37" s="94"/>
      <c r="N37" s="94"/>
      <c r="O37" s="94"/>
      <c r="P37" s="94"/>
      <c r="Q37" s="94"/>
      <c r="R37" s="94"/>
    </row>
    <row r="38" spans="2:18" ht="12.95" customHeight="1" x14ac:dyDescent="0.2">
      <c r="B38" s="454" t="s">
        <v>459</v>
      </c>
      <c r="C38" s="655">
        <f>IF(C10=B73,C12,D12)</f>
        <v>0.35</v>
      </c>
      <c r="D38" s="656"/>
      <c r="E38" s="456"/>
      <c r="F38" s="100"/>
      <c r="G38" s="447">
        <f>'Machinery Calc (GMO)'!U72</f>
        <v>0.61249999999999993</v>
      </c>
      <c r="H38" s="447" t="s">
        <v>288</v>
      </c>
      <c r="I38" s="443" t="s">
        <v>288</v>
      </c>
      <c r="J38" s="448" t="s">
        <v>288</v>
      </c>
      <c r="K38" s="443" t="s">
        <v>288</v>
      </c>
      <c r="L38" s="455">
        <f>SUM(G38:K38)</f>
        <v>0.61249999999999993</v>
      </c>
      <c r="M38" s="94"/>
      <c r="N38" s="94"/>
      <c r="O38" s="94"/>
      <c r="P38" s="94"/>
      <c r="Q38" s="94"/>
      <c r="R38" s="94"/>
    </row>
    <row r="39" spans="2:18" ht="12.95" customHeight="1" x14ac:dyDescent="0.2">
      <c r="B39" s="636"/>
      <c r="C39" s="637"/>
      <c r="D39" s="637"/>
      <c r="E39" s="637"/>
      <c r="F39" s="637"/>
      <c r="G39" s="637"/>
      <c r="H39" s="637"/>
      <c r="I39" s="637"/>
      <c r="J39" s="637"/>
      <c r="K39" s="637"/>
      <c r="L39" s="639"/>
      <c r="M39" s="94"/>
      <c r="N39" s="94"/>
      <c r="O39" s="94"/>
      <c r="P39" s="94"/>
      <c r="Q39" s="94"/>
      <c r="R39" s="94"/>
    </row>
    <row r="40" spans="2:18" ht="12.95" customHeight="1" x14ac:dyDescent="0.2">
      <c r="B40" s="657" t="s">
        <v>332</v>
      </c>
      <c r="C40" s="658"/>
      <c r="D40" s="658"/>
      <c r="E40" s="658"/>
      <c r="F40" s="659"/>
      <c r="G40" s="457">
        <f t="shared" ref="G40:L40" si="1">SUM(G22:G38)</f>
        <v>12.207172799346617</v>
      </c>
      <c r="H40" s="457">
        <f t="shared" si="1"/>
        <v>29.290007070520804</v>
      </c>
      <c r="I40" s="458">
        <f t="shared" si="1"/>
        <v>59.467590112875563</v>
      </c>
      <c r="J40" s="457">
        <f t="shared" si="1"/>
        <v>26.326434255679796</v>
      </c>
      <c r="K40" s="457">
        <f t="shared" si="1"/>
        <v>0</v>
      </c>
      <c r="L40" s="455">
        <f t="shared" si="1"/>
        <v>127.29120423842278</v>
      </c>
      <c r="M40" s="94"/>
      <c r="N40" s="94"/>
      <c r="O40" s="94"/>
      <c r="P40" s="94"/>
      <c r="Q40" s="94"/>
      <c r="R40" s="94"/>
    </row>
    <row r="41" spans="2:18" x14ac:dyDescent="0.2">
      <c r="B41" s="459"/>
      <c r="C41" s="95"/>
      <c r="D41" s="460"/>
      <c r="E41" s="460"/>
      <c r="F41" s="95"/>
      <c r="G41" s="461"/>
      <c r="H41" s="461"/>
      <c r="I41" s="461"/>
      <c r="J41" s="461"/>
      <c r="K41" s="461"/>
      <c r="L41" s="461"/>
      <c r="M41" s="94"/>
      <c r="N41" s="94"/>
      <c r="O41" s="94"/>
      <c r="P41" s="94"/>
      <c r="Q41" s="94"/>
      <c r="R41" s="94"/>
    </row>
    <row r="42" spans="2:18" x14ac:dyDescent="0.2">
      <c r="B42" s="459"/>
      <c r="C42" s="95"/>
      <c r="D42" s="460"/>
      <c r="E42" s="460"/>
      <c r="F42" s="95"/>
      <c r="G42" s="461"/>
      <c r="H42" s="461"/>
      <c r="I42" s="461"/>
      <c r="J42" s="461"/>
      <c r="K42" s="461"/>
      <c r="L42" s="461"/>
      <c r="M42" s="94"/>
      <c r="N42" s="94"/>
      <c r="O42" s="94"/>
      <c r="P42" s="94"/>
      <c r="Q42" s="94"/>
      <c r="R42" s="94"/>
    </row>
    <row r="43" spans="2:18" x14ac:dyDescent="0.2">
      <c r="B43" s="459"/>
      <c r="C43" s="95"/>
      <c r="D43" s="462"/>
      <c r="E43" s="460"/>
      <c r="F43" s="95"/>
      <c r="G43" s="461"/>
      <c r="H43" s="461"/>
      <c r="I43" s="461"/>
      <c r="J43" s="461"/>
      <c r="K43" s="461"/>
      <c r="L43" s="461"/>
      <c r="M43" s="94"/>
      <c r="N43" s="94"/>
      <c r="O43" s="94"/>
      <c r="P43" s="94"/>
      <c r="Q43" s="94"/>
      <c r="R43" s="94"/>
    </row>
    <row r="44" spans="2:18" x14ac:dyDescent="0.2">
      <c r="B44" s="459"/>
      <c r="C44" s="95"/>
      <c r="D44" s="462"/>
      <c r="E44" s="460"/>
      <c r="F44" s="95"/>
      <c r="G44" s="461"/>
      <c r="H44" s="461"/>
      <c r="I44" s="461"/>
      <c r="J44" s="461"/>
      <c r="K44" s="461"/>
      <c r="L44" s="461"/>
      <c r="M44" s="94"/>
      <c r="N44" s="94"/>
      <c r="O44" s="94"/>
      <c r="P44" s="94"/>
      <c r="Q44" s="94"/>
      <c r="R44" s="94"/>
    </row>
    <row r="45" spans="2:18" x14ac:dyDescent="0.2">
      <c r="B45" s="459"/>
      <c r="C45" s="95"/>
      <c r="D45" s="462"/>
      <c r="E45" s="460"/>
      <c r="F45" s="95"/>
      <c r="G45" s="461"/>
      <c r="H45" s="461"/>
      <c r="I45" s="461"/>
      <c r="J45" s="461"/>
      <c r="K45" s="461"/>
      <c r="L45" s="461"/>
      <c r="M45" s="94"/>
      <c r="N45" s="94"/>
      <c r="O45" s="94"/>
      <c r="P45" s="94"/>
      <c r="Q45" s="94"/>
      <c r="R45" s="94"/>
    </row>
    <row r="46" spans="2:18" x14ac:dyDescent="0.2">
      <c r="D46" s="462"/>
      <c r="E46" s="344"/>
      <c r="F46" s="344"/>
      <c r="G46" s="344"/>
      <c r="H46" s="344"/>
      <c r="M46" s="94"/>
      <c r="N46" s="94"/>
      <c r="O46" s="94"/>
      <c r="P46" s="94"/>
      <c r="Q46" s="94"/>
      <c r="R46" s="94"/>
    </row>
    <row r="49" spans="2:15" hidden="1" x14ac:dyDescent="0.2">
      <c r="B49" s="421" t="s">
        <v>51</v>
      </c>
      <c r="F49" s="340"/>
      <c r="G49" s="463"/>
      <c r="H49" s="463"/>
      <c r="I49" s="464" t="s">
        <v>228</v>
      </c>
      <c r="J49" s="464" t="s">
        <v>364</v>
      </c>
      <c r="K49" s="464"/>
      <c r="L49" s="421" t="s">
        <v>365</v>
      </c>
    </row>
    <row r="50" spans="2:15" hidden="1" x14ac:dyDescent="0.2">
      <c r="B50" s="421" t="s">
        <v>90</v>
      </c>
      <c r="F50" s="465" t="s">
        <v>346</v>
      </c>
      <c r="G50" s="94" t="s">
        <v>367</v>
      </c>
      <c r="H50" s="94"/>
      <c r="I50" s="466"/>
      <c r="J50" s="466"/>
      <c r="K50" s="466"/>
    </row>
    <row r="51" spans="2:15" hidden="1" x14ac:dyDescent="0.2">
      <c r="D51" s="94"/>
      <c r="E51" s="94"/>
      <c r="F51" s="340"/>
      <c r="G51" s="94" t="s">
        <v>358</v>
      </c>
      <c r="H51" s="94"/>
      <c r="I51" s="466">
        <f>IF(B32=G51,'Machinery Calc (GMO)'!C44,0)</f>
        <v>0</v>
      </c>
      <c r="J51" s="466">
        <f>IF(B32=G51,'Machinery Calc (GMO)'!B37,0)</f>
        <v>0</v>
      </c>
      <c r="K51" s="466"/>
      <c r="L51" s="421">
        <f>IF($C$16=$B$68,I51,J51)</f>
        <v>0</v>
      </c>
    </row>
    <row r="52" spans="2:15" hidden="1" x14ac:dyDescent="0.2">
      <c r="B52" s="421" t="s">
        <v>79</v>
      </c>
      <c r="D52" s="94"/>
      <c r="E52" s="94"/>
      <c r="F52" s="340"/>
      <c r="G52" s="344" t="s">
        <v>359</v>
      </c>
      <c r="H52" s="95"/>
      <c r="I52" s="466">
        <f>IF(B32=G52,'Machinery Calc (GMO)'!C43,0)</f>
        <v>0</v>
      </c>
      <c r="J52" s="466">
        <f>IF(B32=G52,'Machinery Calc (GMO)'!B36,0)</f>
        <v>0</v>
      </c>
      <c r="K52" s="466"/>
      <c r="L52" s="421">
        <f>IF($C$16=$B$68,I52,J52)</f>
        <v>0</v>
      </c>
    </row>
    <row r="53" spans="2:15" hidden="1" x14ac:dyDescent="0.2">
      <c r="B53" s="421" t="s">
        <v>80</v>
      </c>
      <c r="D53" s="94"/>
      <c r="E53" s="94"/>
      <c r="F53" s="465" t="s">
        <v>347</v>
      </c>
      <c r="G53" s="421" t="s">
        <v>369</v>
      </c>
      <c r="H53" s="94"/>
      <c r="I53" s="466">
        <f>IF(B33=G54,'Machinery Calc (GMO)'!C29,0)</f>
        <v>0</v>
      </c>
      <c r="J53" s="466">
        <f>IF(B33=G54,'Machinery Calc (GMO)'!B29,0)</f>
        <v>0</v>
      </c>
      <c r="K53" s="466"/>
    </row>
    <row r="54" spans="2:15" hidden="1" x14ac:dyDescent="0.2">
      <c r="B54" s="421" t="s">
        <v>255</v>
      </c>
      <c r="D54" s="94"/>
      <c r="E54" s="94"/>
      <c r="F54" s="340"/>
      <c r="G54" s="421" t="s">
        <v>368</v>
      </c>
      <c r="H54" s="95"/>
      <c r="I54" s="464"/>
      <c r="J54" s="464"/>
      <c r="K54" s="464"/>
    </row>
    <row r="55" spans="2:15" hidden="1" x14ac:dyDescent="0.2">
      <c r="D55" s="94"/>
      <c r="E55" s="94"/>
      <c r="F55" s="467" t="s">
        <v>351</v>
      </c>
      <c r="G55" s="95" t="s">
        <v>363</v>
      </c>
      <c r="H55" s="343"/>
      <c r="I55" s="464"/>
      <c r="J55" s="464"/>
      <c r="K55" s="464"/>
    </row>
    <row r="56" spans="2:15" hidden="1" x14ac:dyDescent="0.2">
      <c r="B56" s="421" t="s">
        <v>222</v>
      </c>
      <c r="D56" s="94"/>
      <c r="E56" s="94"/>
      <c r="F56" s="467"/>
      <c r="G56" s="344" t="s">
        <v>360</v>
      </c>
      <c r="H56" s="343"/>
      <c r="I56" s="464"/>
      <c r="J56" s="468"/>
      <c r="K56" s="468"/>
    </row>
    <row r="57" spans="2:15" hidden="1" x14ac:dyDescent="0.2">
      <c r="B57" s="421" t="s">
        <v>223</v>
      </c>
      <c r="D57" s="94"/>
      <c r="E57" s="94"/>
      <c r="F57" s="344"/>
      <c r="G57" s="95" t="s">
        <v>361</v>
      </c>
      <c r="H57" s="343"/>
      <c r="I57" s="464"/>
      <c r="J57" s="469"/>
      <c r="K57" s="469"/>
    </row>
    <row r="58" spans="2:15" hidden="1" x14ac:dyDescent="0.2">
      <c r="G58" s="95" t="s">
        <v>362</v>
      </c>
      <c r="H58" s="343"/>
      <c r="I58" s="464"/>
      <c r="J58" s="469"/>
      <c r="K58" s="469"/>
    </row>
    <row r="59" spans="2:15" hidden="1" x14ac:dyDescent="0.2">
      <c r="F59" s="467" t="s">
        <v>352</v>
      </c>
      <c r="G59" s="95" t="s">
        <v>363</v>
      </c>
      <c r="H59" s="343"/>
      <c r="I59" s="464"/>
      <c r="J59" s="469"/>
      <c r="K59" s="469"/>
    </row>
    <row r="60" spans="2:15" hidden="1" x14ac:dyDescent="0.2">
      <c r="F60" s="344"/>
      <c r="G60" s="344" t="s">
        <v>360</v>
      </c>
      <c r="H60" s="343"/>
      <c r="I60" s="464"/>
      <c r="J60" s="469"/>
      <c r="K60" s="469"/>
    </row>
    <row r="61" spans="2:15" hidden="1" x14ac:dyDescent="0.2">
      <c r="B61" s="421" t="s">
        <v>242</v>
      </c>
      <c r="F61" s="343"/>
      <c r="G61" s="95" t="s">
        <v>361</v>
      </c>
      <c r="H61" s="94"/>
      <c r="I61" s="464"/>
      <c r="J61" s="469"/>
      <c r="K61" s="469"/>
    </row>
    <row r="62" spans="2:15" hidden="1" x14ac:dyDescent="0.2">
      <c r="B62" s="421" t="s">
        <v>318</v>
      </c>
      <c r="F62" s="470"/>
      <c r="G62" s="95" t="s">
        <v>362</v>
      </c>
      <c r="I62" s="470"/>
      <c r="J62" s="469"/>
      <c r="K62" s="469"/>
    </row>
    <row r="63" spans="2:15" hidden="1" x14ac:dyDescent="0.2">
      <c r="G63" s="94"/>
      <c r="I63" s="471"/>
      <c r="J63" s="471"/>
      <c r="K63" s="471"/>
      <c r="N63" s="94"/>
      <c r="O63" s="94"/>
    </row>
    <row r="64" spans="2:15" hidden="1" x14ac:dyDescent="0.2">
      <c r="B64" s="421" t="s">
        <v>244</v>
      </c>
      <c r="G64" s="94"/>
      <c r="I64" s="471"/>
      <c r="J64" s="471"/>
      <c r="K64" s="471"/>
      <c r="N64" s="94"/>
      <c r="O64" s="94"/>
    </row>
    <row r="65" spans="2:15" hidden="1" x14ac:dyDescent="0.2">
      <c r="B65" s="421" t="s">
        <v>243</v>
      </c>
      <c r="G65" s="94"/>
      <c r="I65" s="471"/>
      <c r="J65" s="471"/>
      <c r="K65" s="471"/>
      <c r="N65" s="94"/>
      <c r="O65" s="94"/>
    </row>
    <row r="66" spans="2:15" hidden="1" x14ac:dyDescent="0.2">
      <c r="G66" s="94"/>
      <c r="I66" s="471"/>
      <c r="J66" s="471"/>
      <c r="K66" s="471"/>
      <c r="N66" s="94"/>
      <c r="O66" s="94"/>
    </row>
    <row r="67" spans="2:15" hidden="1" x14ac:dyDescent="0.2">
      <c r="F67" s="465"/>
      <c r="G67" s="95"/>
      <c r="I67" s="470"/>
      <c r="J67" s="470"/>
      <c r="K67" s="470"/>
      <c r="N67" s="94"/>
      <c r="O67" s="94"/>
    </row>
    <row r="68" spans="2:15" hidden="1" x14ac:dyDescent="0.2">
      <c r="B68" s="421" t="s">
        <v>226</v>
      </c>
      <c r="F68" s="465"/>
      <c r="G68" s="94"/>
      <c r="I68" s="470"/>
      <c r="J68" s="470"/>
      <c r="K68" s="470"/>
      <c r="L68" s="94"/>
      <c r="M68" s="94"/>
      <c r="N68" s="94"/>
      <c r="O68" s="94"/>
    </row>
    <row r="69" spans="2:15" hidden="1" x14ac:dyDescent="0.2">
      <c r="B69" s="421" t="s">
        <v>236</v>
      </c>
      <c r="G69" s="94"/>
      <c r="I69" s="471"/>
      <c r="J69" s="471"/>
      <c r="K69" s="471"/>
      <c r="M69" s="94"/>
      <c r="N69" s="94"/>
      <c r="O69" s="94"/>
    </row>
    <row r="70" spans="2:15" hidden="1" x14ac:dyDescent="0.2">
      <c r="G70" s="94"/>
      <c r="I70" s="471"/>
      <c r="J70" s="471"/>
      <c r="K70" s="471"/>
    </row>
    <row r="71" spans="2:15" hidden="1" x14ac:dyDescent="0.2">
      <c r="G71" s="94"/>
      <c r="I71" s="471"/>
      <c r="J71" s="471"/>
      <c r="K71" s="471"/>
    </row>
    <row r="72" spans="2:15" hidden="1" x14ac:dyDescent="0.2">
      <c r="B72" s="415" t="s">
        <v>391</v>
      </c>
      <c r="G72" s="94"/>
      <c r="I72" s="471"/>
      <c r="J72" s="471"/>
      <c r="K72" s="471"/>
    </row>
    <row r="73" spans="2:15" hidden="1" x14ac:dyDescent="0.2">
      <c r="B73" s="415" t="s">
        <v>366</v>
      </c>
      <c r="F73" s="465"/>
      <c r="G73" s="95"/>
      <c r="I73" s="470"/>
      <c r="J73" s="470"/>
      <c r="K73" s="470"/>
    </row>
    <row r="74" spans="2:15" hidden="1" x14ac:dyDescent="0.2">
      <c r="B74" s="94"/>
    </row>
    <row r="75" spans="2:15" x14ac:dyDescent="0.2">
      <c r="B75" s="95"/>
    </row>
    <row r="76" spans="2:15" x14ac:dyDescent="0.2">
      <c r="B76" s="95"/>
    </row>
    <row r="77" spans="2:15" x14ac:dyDescent="0.2">
      <c r="B77" s="95"/>
    </row>
    <row r="78" spans="2:15" x14ac:dyDescent="0.2">
      <c r="B78" s="95"/>
    </row>
    <row r="79" spans="2:15" x14ac:dyDescent="0.2">
      <c r="B79" s="95"/>
    </row>
    <row r="80" spans="2:15" x14ac:dyDescent="0.2">
      <c r="B80" s="95"/>
    </row>
    <row r="81" spans="2:11" x14ac:dyDescent="0.2">
      <c r="B81" s="95"/>
    </row>
    <row r="82" spans="2:11" x14ac:dyDescent="0.2">
      <c r="B82" s="95"/>
      <c r="H82" s="344"/>
      <c r="I82" s="344"/>
      <c r="J82" s="344"/>
      <c r="K82" s="344"/>
    </row>
    <row r="83" spans="2:11" x14ac:dyDescent="0.2">
      <c r="B83" s="95"/>
      <c r="H83" s="344"/>
      <c r="I83" s="344"/>
      <c r="J83" s="344"/>
      <c r="K83" s="344"/>
    </row>
    <row r="84" spans="2:11" x14ac:dyDescent="0.2">
      <c r="H84" s="344"/>
      <c r="I84" s="344"/>
      <c r="J84" s="344"/>
      <c r="K84" s="344"/>
    </row>
    <row r="85" spans="2:11" x14ac:dyDescent="0.2">
      <c r="H85" s="344"/>
      <c r="I85" s="344"/>
      <c r="J85" s="344"/>
      <c r="K85" s="344"/>
    </row>
    <row r="87" spans="2:11" x14ac:dyDescent="0.2">
      <c r="H87" s="344"/>
    </row>
  </sheetData>
  <sheetProtection algorithmName="SHA-512" hashValue="CUx3eHcnUyO8oupmDuEeodpNwkJmZzR1XqaI0mBniVpdr/MWtzhUqgmKb6OJmb/LN8iZAwpa0JqsDbIGG53MlA==" saltValue="/OXQPxfsT5X+Dr5OumTFvw==" spinCount="100000" sheet="1" objects="1" scenarios="1" formatCells="0" formatColumns="0" formatRows="0"/>
  <mergeCells count="38">
    <mergeCell ref="C36:D36"/>
    <mergeCell ref="C37:D37"/>
    <mergeCell ref="B40:F40"/>
    <mergeCell ref="B39:L39"/>
    <mergeCell ref="E36:L36"/>
    <mergeCell ref="C38:D38"/>
    <mergeCell ref="B31:L31"/>
    <mergeCell ref="B30:L30"/>
    <mergeCell ref="E6:L6"/>
    <mergeCell ref="B15:L15"/>
    <mergeCell ref="C4:D4"/>
    <mergeCell ref="E7:L7"/>
    <mergeCell ref="E8:L8"/>
    <mergeCell ref="E9:L9"/>
    <mergeCell ref="E4:L4"/>
    <mergeCell ref="E5:L5"/>
    <mergeCell ref="E10:L10"/>
    <mergeCell ref="C10:D10"/>
    <mergeCell ref="C21:D21"/>
    <mergeCell ref="C20:D20"/>
    <mergeCell ref="C19:D19"/>
    <mergeCell ref="C5:D5"/>
    <mergeCell ref="E20:E21"/>
    <mergeCell ref="B3:L3"/>
    <mergeCell ref="B2:L2"/>
    <mergeCell ref="C17:E17"/>
    <mergeCell ref="C16:E16"/>
    <mergeCell ref="B14:L14"/>
    <mergeCell ref="G16:L16"/>
    <mergeCell ref="G17:L17"/>
    <mergeCell ref="C9:D9"/>
    <mergeCell ref="C8:D8"/>
    <mergeCell ref="C7:D7"/>
    <mergeCell ref="C6:D6"/>
    <mergeCell ref="G13:M13"/>
    <mergeCell ref="E11:L11"/>
    <mergeCell ref="B18:L18"/>
    <mergeCell ref="E12:L12"/>
  </mergeCells>
  <phoneticPr fontId="6" type="noConversion"/>
  <conditionalFormatting sqref="D22:E29 K19:K20 K22:K29 D32:E35 K32:K35 K37:K38 K40">
    <cfRule type="expression" dxfId="117" priority="250">
      <formula>$C$17=$B$73</formula>
    </cfRule>
  </conditionalFormatting>
  <conditionalFormatting sqref="D11:D12">
    <cfRule type="expression" dxfId="116" priority="252">
      <formula>$C$10=$B$73</formula>
    </cfRule>
  </conditionalFormatting>
  <conditionalFormatting sqref="G20">
    <cfRule type="expression" dxfId="115" priority="253">
      <formula>$G$19=$B$54</formula>
    </cfRule>
  </conditionalFormatting>
  <conditionalFormatting sqref="H20">
    <cfRule type="expression" dxfId="114" priority="254">
      <formula>$H$19=$B$54</formula>
    </cfRule>
  </conditionalFormatting>
  <conditionalFormatting sqref="I20">
    <cfRule type="expression" dxfId="113" priority="255">
      <formula>$I$19=$B$54</formula>
    </cfRule>
  </conditionalFormatting>
  <conditionalFormatting sqref="J20:K20">
    <cfRule type="expression" dxfId="112" priority="256">
      <formula>$J$19=$B$54</formula>
    </cfRule>
  </conditionalFormatting>
  <conditionalFormatting sqref="B34:L35 N34:N35 B28:L28">
    <cfRule type="expression" dxfId="111" priority="257">
      <formula>$C$16=$B$68</formula>
    </cfRule>
  </conditionalFormatting>
  <conditionalFormatting sqref="K28">
    <cfRule type="expression" dxfId="110" priority="16">
      <formula>$C$16=$B$68</formula>
    </cfRule>
  </conditionalFormatting>
  <conditionalFormatting sqref="D32:E32">
    <cfRule type="expression" dxfId="109" priority="11">
      <formula>$B$32=$G$50</formula>
    </cfRule>
  </conditionalFormatting>
  <conditionalFormatting sqref="D33:E33">
    <cfRule type="expression" dxfId="108" priority="10">
      <formula>$B$33=$G$53</formula>
    </cfRule>
  </conditionalFormatting>
  <conditionalFormatting sqref="D34:E34">
    <cfRule type="expression" dxfId="107" priority="9">
      <formula>$B$34=$G$55</formula>
    </cfRule>
  </conditionalFormatting>
  <conditionalFormatting sqref="D35:E35">
    <cfRule type="expression" dxfId="106" priority="8">
      <formula>$B$35=$G$59</formula>
    </cfRule>
  </conditionalFormatting>
  <conditionalFormatting sqref="E22:E29 E32:E35">
    <cfRule type="expression" dxfId="105" priority="6">
      <formula>$C$17=$B$73</formula>
    </cfRule>
  </conditionalFormatting>
  <dataValidations xWindow="433" yWindow="443" count="9">
    <dataValidation type="list" allowBlank="1" showInputMessage="1" showErrorMessage="1" sqref="B34">
      <formula1>$G$55:$G$58</formula1>
    </dataValidation>
    <dataValidation type="list" allowBlank="1" showInputMessage="1" showErrorMessage="1" prompt="Make sure that the additional tillage option selected here is not the same as above or costs will be included twice on the Machinery Operations chart. " sqref="B35">
      <formula1>$G$59:$G$62</formula1>
    </dataValidation>
    <dataValidation type="list" allowBlank="1" showInputMessage="1" showErrorMessage="1" sqref="B32">
      <formula1>$G$50:$G$52</formula1>
    </dataValidation>
    <dataValidation type="list" allowBlank="1" showInputMessage="1" showErrorMessage="1" sqref="B33">
      <formula1>$G$53:$G$54</formula1>
    </dataValidation>
    <dataValidation type="list" allowBlank="1" showInputMessage="1" showErrorMessage="1" sqref="C7 E32:E35 E22:E29">
      <formula1>$B$49:$B$50</formula1>
    </dataValidation>
    <dataValidation type="list" allowBlank="1" showInputMessage="1" showErrorMessage="1" prompt="If you select &quot;Enter&quot; the default number of trips will be visible, but calculations will be based off of the number of trips entered. _x000a__x000a_If &quot;Custom Work&quot; applies to any machinery operations, select &quot;Y&quot; in the Custom Work column. " sqref="C17:E17">
      <formula1>$B$72:$B$73</formula1>
    </dataValidation>
    <dataValidation type="list" allowBlank="1" showInputMessage="1" showErrorMessage="1" sqref="C10:D10">
      <formula1>$B$72:$B$73</formula1>
    </dataValidation>
    <dataValidation type="list" allowBlank="1" showInputMessage="1" showErrorMessage="1" sqref="C16:E16">
      <formula1>$B$68:$B$69</formula1>
    </dataValidation>
    <dataValidation type="list" allowBlank="1" showInputMessage="1" showErrorMessage="1" sqref="G19:K19">
      <formula1>$B$52:$B$54</formula1>
    </dataValidation>
  </dataValidations>
  <pageMargins left="0.75" right="0.75" top="1" bottom="1" header="0.5" footer="0.5"/>
  <pageSetup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21" id="{27C64964-493A-4EBF-A45B-62BB74BFEB76}">
            <xm:f>GMO!$C$27=GMO!$C$85</xm:f>
            <x14:dxf>
              <font>
                <color theme="0"/>
              </font>
            </x14:dxf>
          </x14:cfRule>
          <x14:cfRule type="expression" priority="322" id="{79BE3CEB-25BB-4566-B524-6FB5F1483D7C}">
            <xm:f>GMO!$D$26=GMO!$C$70</xm:f>
            <x14:dxf>
              <font>
                <color theme="0"/>
              </font>
            </x14:dxf>
          </x14:cfRule>
          <xm:sqref>B29:L29</xm:sqref>
        </x14:conditionalFormatting>
        <x14:conditionalFormatting xmlns:xm="http://schemas.microsoft.com/office/excel/2006/main">
          <x14:cfRule type="expression" priority="7" id="{FD976FFE-6C4A-4D65-9D89-7423DBAF46AB}">
            <xm:f>GMO!$I$21=GMO!$D$60</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4" id="{BC9D955B-8BD1-44E7-8325-FB3687DC8C83}">
            <xm:f>GMO!$I$21=GMO!$D$60</xm:f>
            <x14:dxf>
              <font>
                <color theme="0"/>
              </font>
              <fill>
                <patternFill patternType="none">
                  <bgColor auto="1"/>
                </patternFill>
              </fill>
              <border>
                <left/>
                <right/>
                <top/>
                <bottom/>
                <vertical/>
                <horizontal/>
              </border>
            </x14:dxf>
          </x14:cfRule>
          <xm:sqref>B2:L9 B15:N36 C11:L12 C10:D10 B39:N40 C37:N38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3"/>
  <sheetViews>
    <sheetView workbookViewId="0">
      <pane ySplit="17" topLeftCell="A24" activePane="bottomLeft" state="frozen"/>
      <selection activeCell="H25" sqref="H25"/>
      <selection pane="bottomLeft" sqref="A1:Z1"/>
    </sheetView>
  </sheetViews>
  <sheetFormatPr defaultRowHeight="12.75" x14ac:dyDescent="0.2"/>
  <cols>
    <col min="1" max="1" width="33.5703125" customWidth="1"/>
    <col min="2" max="6" width="9.140625" customWidth="1"/>
    <col min="7" max="7" width="9.7109375" customWidth="1"/>
    <col min="8" max="8" width="8.5703125" style="23" customWidth="1"/>
    <col min="9" max="11" width="7.85546875" customWidth="1"/>
    <col min="12" max="12" width="9" customWidth="1"/>
    <col min="13" max="13" width="7.5703125" customWidth="1"/>
    <col min="14" max="14" width="9.85546875" customWidth="1"/>
    <col min="15" max="16" width="7.140625" customWidth="1"/>
    <col min="17" max="17" width="9.140625" customWidth="1"/>
    <col min="18" max="18" width="8.42578125" customWidth="1"/>
    <col min="19" max="19" width="8.7109375" customWidth="1"/>
    <col min="20" max="20" width="4.7109375" customWidth="1"/>
    <col min="21" max="21" width="8.5703125" customWidth="1"/>
    <col min="22" max="22" width="8.140625" customWidth="1"/>
    <col min="23" max="23" width="8.7109375" customWidth="1"/>
    <col min="24" max="24" width="8.42578125" customWidth="1"/>
    <col min="25" max="25" width="8.5703125" customWidth="1"/>
    <col min="26" max="26" width="8.42578125" customWidth="1"/>
  </cols>
  <sheetData>
    <row r="1" spans="1:28" ht="18" x14ac:dyDescent="0.25">
      <c r="A1" s="662" t="s">
        <v>436</v>
      </c>
      <c r="B1" s="663"/>
      <c r="C1" s="663"/>
      <c r="D1" s="663"/>
      <c r="E1" s="663"/>
      <c r="F1" s="663"/>
      <c r="G1" s="663"/>
      <c r="H1" s="663"/>
      <c r="I1" s="663"/>
      <c r="J1" s="663"/>
      <c r="K1" s="663"/>
      <c r="L1" s="663"/>
      <c r="M1" s="663"/>
      <c r="N1" s="663"/>
      <c r="O1" s="663"/>
      <c r="P1" s="663"/>
      <c r="Q1" s="663"/>
      <c r="R1" s="663"/>
      <c r="S1" s="663"/>
      <c r="T1" s="663"/>
      <c r="U1" s="663"/>
      <c r="V1" s="663"/>
      <c r="W1" s="663"/>
      <c r="X1" s="663"/>
      <c r="Y1" s="663"/>
      <c r="Z1" s="664"/>
    </row>
    <row r="2" spans="1:28" x14ac:dyDescent="0.2">
      <c r="A2" s="65" t="s">
        <v>193</v>
      </c>
      <c r="B2" s="110">
        <v>2</v>
      </c>
      <c r="C2" s="65"/>
      <c r="D2" s="669" t="s">
        <v>110</v>
      </c>
      <c r="E2" s="669"/>
      <c r="F2" s="669"/>
      <c r="G2" s="669"/>
      <c r="H2" s="669"/>
      <c r="I2" s="669"/>
      <c r="J2" s="669"/>
      <c r="K2" s="669"/>
      <c r="L2" s="669"/>
      <c r="M2" s="669"/>
      <c r="N2" s="669"/>
      <c r="O2" s="669"/>
      <c r="P2" s="669"/>
      <c r="Q2" s="669"/>
      <c r="R2" s="669"/>
      <c r="S2" s="669"/>
      <c r="T2" s="669"/>
      <c r="U2" s="669"/>
      <c r="V2" s="669"/>
      <c r="W2" s="669"/>
      <c r="X2" s="669"/>
      <c r="Y2" s="669"/>
      <c r="Z2" s="669"/>
    </row>
    <row r="3" spans="1:28" x14ac:dyDescent="0.2">
      <c r="A3" s="65" t="s">
        <v>192</v>
      </c>
      <c r="B3" s="111">
        <f>'Machinery(GMO)'!C5</f>
        <v>1.75</v>
      </c>
      <c r="C3" s="65"/>
      <c r="D3" s="670" t="s">
        <v>98</v>
      </c>
      <c r="E3" s="670"/>
      <c r="F3" s="670"/>
      <c r="G3" s="670"/>
      <c r="H3" s="670"/>
      <c r="I3" s="670"/>
      <c r="J3" s="670"/>
      <c r="K3" s="670"/>
      <c r="L3" s="670"/>
      <c r="M3" s="670"/>
      <c r="N3" s="670"/>
      <c r="O3" s="670"/>
      <c r="P3" s="670"/>
      <c r="Q3" s="670"/>
      <c r="R3" s="670"/>
      <c r="S3" s="670"/>
      <c r="T3" s="670"/>
      <c r="U3" s="670"/>
      <c r="V3" s="670"/>
      <c r="W3" s="670"/>
      <c r="X3" s="670"/>
      <c r="Y3" s="670"/>
      <c r="Z3" s="670"/>
    </row>
    <row r="4" spans="1:28" x14ac:dyDescent="0.2">
      <c r="A4" s="9" t="s">
        <v>68</v>
      </c>
      <c r="B4" s="111">
        <f>'Machinery(GMO)'!C6</f>
        <v>15</v>
      </c>
      <c r="C4" s="9"/>
      <c r="D4" s="670" t="s">
        <v>100</v>
      </c>
      <c r="E4" s="670"/>
      <c r="F4" s="670"/>
      <c r="G4" s="670"/>
      <c r="H4" s="670"/>
      <c r="I4" s="670"/>
      <c r="J4" s="670"/>
      <c r="K4" s="670"/>
      <c r="L4" s="670"/>
      <c r="M4" s="670"/>
      <c r="N4" s="670"/>
      <c r="O4" s="670"/>
      <c r="P4" s="670"/>
      <c r="Q4" s="670"/>
      <c r="R4" s="670"/>
      <c r="S4" s="670"/>
      <c r="T4" s="670"/>
      <c r="U4" s="670"/>
      <c r="V4" s="670"/>
      <c r="W4" s="670"/>
      <c r="X4" s="670"/>
      <c r="Y4" s="670"/>
      <c r="Z4" s="670"/>
    </row>
    <row r="5" spans="1:28" x14ac:dyDescent="0.2">
      <c r="A5" s="9" t="s">
        <v>115</v>
      </c>
      <c r="B5" s="111" t="str">
        <f>'Machinery(GMO)'!C7</f>
        <v>Y</v>
      </c>
      <c r="C5" s="9"/>
      <c r="D5" s="670" t="s">
        <v>106</v>
      </c>
      <c r="E5" s="670"/>
      <c r="F5" s="670"/>
      <c r="G5" s="670"/>
      <c r="H5" s="670"/>
      <c r="I5" s="670"/>
      <c r="J5" s="670"/>
      <c r="K5" s="670"/>
      <c r="L5" s="670"/>
      <c r="M5" s="670"/>
      <c r="N5" s="670"/>
      <c r="O5" s="670"/>
      <c r="P5" s="670"/>
      <c r="Q5" s="670"/>
      <c r="R5" s="670"/>
      <c r="S5" s="670"/>
      <c r="T5" s="670"/>
      <c r="U5" s="670"/>
      <c r="V5" s="670"/>
      <c r="W5" s="670"/>
      <c r="X5" s="670"/>
      <c r="Y5" s="670"/>
      <c r="Z5" s="670"/>
    </row>
    <row r="6" spans="1:28" x14ac:dyDescent="0.2">
      <c r="A6" s="9" t="s">
        <v>69</v>
      </c>
      <c r="B6" s="111">
        <f>'Machinery(GMO)'!C8</f>
        <v>12.5</v>
      </c>
      <c r="C6" s="9"/>
      <c r="D6" s="670" t="s">
        <v>99</v>
      </c>
      <c r="E6" s="670"/>
      <c r="F6" s="670"/>
      <c r="G6" s="670"/>
      <c r="H6" s="670"/>
      <c r="I6" s="670"/>
      <c r="J6" s="670"/>
      <c r="K6" s="670"/>
      <c r="L6" s="670"/>
      <c r="M6" s="670"/>
      <c r="N6" s="670"/>
      <c r="O6" s="670"/>
      <c r="P6" s="670"/>
      <c r="Q6" s="670"/>
      <c r="R6" s="670"/>
      <c r="S6" s="670"/>
      <c r="T6" s="670"/>
      <c r="U6" s="670"/>
      <c r="V6" s="670"/>
      <c r="W6" s="670"/>
      <c r="X6" s="670"/>
      <c r="Y6" s="670"/>
      <c r="Z6" s="670"/>
    </row>
    <row r="7" spans="1:28" x14ac:dyDescent="0.2">
      <c r="A7" s="9" t="s">
        <v>70</v>
      </c>
      <c r="B7" s="118">
        <f>'Machinery(GMO)'!C9</f>
        <v>0</v>
      </c>
      <c r="C7" s="9"/>
      <c r="D7" s="670" t="s">
        <v>107</v>
      </c>
      <c r="E7" s="670"/>
      <c r="F7" s="670"/>
      <c r="G7" s="670"/>
      <c r="H7" s="670"/>
      <c r="I7" s="670"/>
      <c r="J7" s="670"/>
      <c r="K7" s="670"/>
      <c r="L7" s="670"/>
      <c r="M7" s="670"/>
      <c r="N7" s="670"/>
      <c r="O7" s="670"/>
      <c r="P7" s="670"/>
      <c r="Q7" s="670"/>
      <c r="R7" s="670"/>
      <c r="S7" s="670"/>
      <c r="T7" s="670"/>
      <c r="U7" s="670"/>
      <c r="V7" s="670"/>
      <c r="W7" s="670"/>
      <c r="X7" s="670"/>
      <c r="Y7" s="670"/>
      <c r="Z7" s="670"/>
    </row>
    <row r="8" spans="1:28" x14ac:dyDescent="0.2">
      <c r="A8" s="9" t="s">
        <v>103</v>
      </c>
      <c r="B8" s="36">
        <f>GMO!I26</f>
        <v>25</v>
      </c>
      <c r="C8" s="9"/>
      <c r="D8" s="670" t="s">
        <v>119</v>
      </c>
      <c r="E8" s="670"/>
      <c r="F8" s="670"/>
      <c r="G8" s="670"/>
      <c r="H8" s="670"/>
      <c r="I8" s="670"/>
      <c r="J8" s="670"/>
      <c r="K8" s="670"/>
      <c r="L8" s="670"/>
      <c r="M8" s="670"/>
      <c r="N8" s="670"/>
      <c r="O8" s="670"/>
      <c r="P8" s="670"/>
      <c r="Q8" s="670"/>
      <c r="R8" s="670"/>
      <c r="S8" s="670"/>
      <c r="T8" s="670"/>
      <c r="U8" s="670"/>
      <c r="V8" s="670"/>
      <c r="W8" s="670"/>
      <c r="X8" s="670"/>
      <c r="Y8" s="670"/>
      <c r="Z8" s="670"/>
    </row>
    <row r="9" spans="1:28" x14ac:dyDescent="0.2">
      <c r="A9" s="668" t="s">
        <v>104</v>
      </c>
      <c r="B9" s="668"/>
      <c r="C9" s="668"/>
      <c r="D9" s="668"/>
      <c r="E9" s="668"/>
      <c r="F9" s="668"/>
      <c r="G9" s="668"/>
      <c r="H9" s="665" t="s">
        <v>108</v>
      </c>
      <c r="I9" s="666"/>
      <c r="J9" s="666"/>
      <c r="K9" s="666"/>
      <c r="L9" s="666"/>
      <c r="M9" s="666"/>
      <c r="N9" s="666"/>
      <c r="O9" s="666"/>
      <c r="P9" s="666"/>
      <c r="Q9" s="666"/>
      <c r="R9" s="666"/>
      <c r="S9" s="666"/>
      <c r="T9" s="666"/>
      <c r="U9" s="666"/>
      <c r="V9" s="666"/>
      <c r="W9" s="666"/>
      <c r="X9" s="666"/>
      <c r="Y9" s="666"/>
      <c r="Z9" s="667"/>
    </row>
    <row r="10" spans="1:28" x14ac:dyDescent="0.2">
      <c r="A10" s="668" t="s">
        <v>105</v>
      </c>
      <c r="B10" s="668"/>
      <c r="C10" s="668"/>
      <c r="D10" s="668"/>
      <c r="E10" s="668"/>
      <c r="F10" s="668"/>
      <c r="G10" s="668"/>
      <c r="H10" s="665" t="s">
        <v>121</v>
      </c>
      <c r="I10" s="666"/>
      <c r="J10" s="666"/>
      <c r="K10" s="666"/>
      <c r="L10" s="666"/>
      <c r="M10" s="666"/>
      <c r="N10" s="666"/>
      <c r="O10" s="666"/>
      <c r="P10" s="666"/>
      <c r="Q10" s="666"/>
      <c r="R10" s="666"/>
      <c r="S10" s="666"/>
      <c r="T10" s="666"/>
      <c r="U10" s="666"/>
      <c r="V10" s="666"/>
      <c r="W10" s="666"/>
      <c r="X10" s="666"/>
      <c r="Y10" s="666"/>
      <c r="Z10" s="667"/>
    </row>
    <row r="11" spans="1:28" x14ac:dyDescent="0.2">
      <c r="A11" s="668" t="s">
        <v>118</v>
      </c>
      <c r="B11" s="668"/>
      <c r="C11" s="668"/>
      <c r="D11" s="668"/>
      <c r="E11" s="668"/>
      <c r="F11" s="668"/>
      <c r="G11" s="668"/>
      <c r="H11" s="665" t="s">
        <v>122</v>
      </c>
      <c r="I11" s="666"/>
      <c r="J11" s="666"/>
      <c r="K11" s="666"/>
      <c r="L11" s="666"/>
      <c r="M11" s="666"/>
      <c r="N11" s="666"/>
      <c r="O11" s="666"/>
      <c r="P11" s="666"/>
      <c r="Q11" s="666"/>
      <c r="R11" s="666"/>
      <c r="S11" s="666"/>
      <c r="T11" s="666"/>
      <c r="U11" s="666"/>
      <c r="V11" s="666"/>
      <c r="W11" s="666"/>
      <c r="X11" s="666"/>
      <c r="Y11" s="666"/>
      <c r="Z11" s="667"/>
    </row>
    <row r="12" spans="1:28" x14ac:dyDescent="0.2">
      <c r="A12" s="65" t="s">
        <v>82</v>
      </c>
      <c r="B12" s="119">
        <v>0.33</v>
      </c>
      <c r="C12" s="9"/>
      <c r="D12" s="9"/>
      <c r="F12" s="119"/>
      <c r="G12" s="119"/>
      <c r="H12" s="683"/>
      <c r="I12" s="666"/>
      <c r="J12" s="666"/>
      <c r="K12" s="666"/>
      <c r="L12" s="666"/>
      <c r="M12" s="666"/>
      <c r="N12" s="666"/>
      <c r="O12" s="666"/>
      <c r="P12" s="666"/>
      <c r="Q12" s="666"/>
      <c r="R12" s="666"/>
      <c r="S12" s="666"/>
      <c r="T12" s="666"/>
      <c r="U12" s="666"/>
      <c r="V12" s="666"/>
      <c r="W12" s="666"/>
      <c r="X12" s="666"/>
      <c r="Y12" s="666"/>
      <c r="Z12" s="667"/>
    </row>
    <row r="13" spans="1:28" x14ac:dyDescent="0.2">
      <c r="A13" s="65" t="s">
        <v>397</v>
      </c>
      <c r="B13" s="119">
        <v>0.15</v>
      </c>
      <c r="C13" s="9"/>
      <c r="D13" s="9"/>
      <c r="E13" s="119"/>
      <c r="F13" s="119"/>
      <c r="G13" s="119"/>
      <c r="H13" s="321"/>
      <c r="I13" s="322"/>
      <c r="J13" s="322"/>
      <c r="K13" s="322"/>
      <c r="L13" s="322"/>
      <c r="M13" s="322"/>
      <c r="N13" s="322"/>
      <c r="O13" s="322"/>
      <c r="P13" s="322"/>
      <c r="Q13" s="322"/>
      <c r="R13" s="322"/>
      <c r="S13" s="322"/>
      <c r="T13" s="322"/>
      <c r="U13" s="204"/>
      <c r="V13" s="204"/>
      <c r="W13" s="204"/>
      <c r="X13" s="204"/>
      <c r="Y13" s="204"/>
      <c r="Z13" s="205"/>
    </row>
    <row r="14" spans="1:28" ht="13.15" customHeight="1" x14ac:dyDescent="0.2">
      <c r="A14" s="65" t="s">
        <v>398</v>
      </c>
      <c r="B14" s="325">
        <v>15</v>
      </c>
      <c r="C14" s="9"/>
      <c r="D14" s="9"/>
      <c r="E14" s="9"/>
      <c r="F14" s="120"/>
      <c r="G14" s="120"/>
      <c r="H14" s="671" t="s">
        <v>101</v>
      </c>
      <c r="I14" s="672"/>
      <c r="J14" s="672"/>
      <c r="K14" s="672"/>
      <c r="L14" s="672"/>
      <c r="M14" s="672"/>
      <c r="N14" s="672"/>
      <c r="O14" s="672"/>
      <c r="P14" s="672"/>
      <c r="Q14" s="672"/>
      <c r="R14" s="672"/>
      <c r="S14" s="672"/>
      <c r="T14" s="673"/>
      <c r="U14" s="684" t="s">
        <v>96</v>
      </c>
      <c r="V14" s="685"/>
      <c r="W14" s="685"/>
      <c r="X14" s="685"/>
      <c r="Y14" s="685"/>
      <c r="Z14" s="686"/>
    </row>
    <row r="15" spans="1:28" x14ac:dyDescent="0.2">
      <c r="A15" s="65" t="s">
        <v>143</v>
      </c>
      <c r="B15" s="319">
        <f>IF('Machinery(GMO)'!C10='Machinery(GMO)'!B73,'Machinery(GMO)'!C11,'Machinery(GMO)'!D11)</f>
        <v>0.75</v>
      </c>
      <c r="C15" s="65"/>
      <c r="D15" s="65"/>
      <c r="E15" s="9"/>
      <c r="F15" s="120"/>
      <c r="G15" s="120"/>
      <c r="H15" s="674"/>
      <c r="I15" s="675"/>
      <c r="J15" s="675"/>
      <c r="K15" s="675"/>
      <c r="L15" s="675"/>
      <c r="M15" s="675"/>
      <c r="N15" s="675"/>
      <c r="O15" s="675"/>
      <c r="P15" s="675"/>
      <c r="Q15" s="675"/>
      <c r="R15" s="675"/>
      <c r="S15" s="675"/>
      <c r="T15" s="676"/>
      <c r="U15" s="37" t="str">
        <f>'Machinery(GMO)'!G19</f>
        <v>Increase</v>
      </c>
      <c r="V15" s="37" t="str">
        <f>'Machinery(GMO)'!J19</f>
        <v>Increase</v>
      </c>
      <c r="W15" s="37" t="str">
        <f>'Machinery(GMO)'!J19</f>
        <v>Increase</v>
      </c>
      <c r="X15" s="37" t="str">
        <f>'Machinery(GMO)'!H19</f>
        <v>Increase</v>
      </c>
      <c r="Y15" s="37" t="str">
        <f>'Machinery(GMO)'!I19</f>
        <v>Increase</v>
      </c>
      <c r="Z15" s="108" t="str">
        <f>'Machinery(GMO)'!K19</f>
        <v>Increase</v>
      </c>
      <c r="AA15" s="16"/>
      <c r="AB15" s="16"/>
    </row>
    <row r="16" spans="1:28" x14ac:dyDescent="0.2">
      <c r="A16" s="65" t="s">
        <v>399</v>
      </c>
      <c r="B16" s="326">
        <v>0.15</v>
      </c>
      <c r="C16" s="9"/>
      <c r="D16" s="9"/>
      <c r="E16" s="9"/>
      <c r="F16" s="120"/>
      <c r="G16" s="120"/>
      <c r="H16" s="677"/>
      <c r="I16" s="678"/>
      <c r="J16" s="678"/>
      <c r="K16" s="678"/>
      <c r="L16" s="678"/>
      <c r="M16" s="678"/>
      <c r="N16" s="678"/>
      <c r="O16" s="678"/>
      <c r="P16" s="678"/>
      <c r="Q16" s="678"/>
      <c r="R16" s="678"/>
      <c r="S16" s="678"/>
      <c r="T16" s="679"/>
      <c r="U16" s="103">
        <f>IF('Machinery(GMO)'!G19='Machinery(GMO)'!B54,0,'Machinery(GMO)'!G20)</f>
        <v>0</v>
      </c>
      <c r="V16" s="103">
        <f>IF('Machinery(GMO)'!J19='Machinery(GMO)'!B54,0,'Machinery(GMO)'!J20)</f>
        <v>0</v>
      </c>
      <c r="W16" s="103">
        <f>IF('Machinery(GMO)'!J19='Machinery(GMO)'!B54,0,'Machinery(GMO)'!J20)</f>
        <v>0</v>
      </c>
      <c r="X16" s="103">
        <f>IF('Machinery(GMO)'!H19='Machinery(GMO)'!B54,0,'Machinery(GMO)'!H20)</f>
        <v>0</v>
      </c>
      <c r="Y16" s="103">
        <f>IF('Machinery(GMO)'!I19='Machinery(GMO)'!B54,0,'Machinery(GMO)'!I20)</f>
        <v>0</v>
      </c>
      <c r="Z16" s="166">
        <f>IF('Machinery(GMO)'!K19='Machinery(GMO)'!B54,0,'Machinery(GMO)'!K20)</f>
        <v>0</v>
      </c>
    </row>
    <row r="17" spans="1:26" s="1" customFormat="1" ht="43.15" customHeight="1" x14ac:dyDescent="0.2">
      <c r="A17" s="3" t="s">
        <v>0</v>
      </c>
      <c r="B17" s="109" t="s">
        <v>295</v>
      </c>
      <c r="C17" s="109" t="s">
        <v>296</v>
      </c>
      <c r="D17" s="109" t="s">
        <v>294</v>
      </c>
      <c r="E17" s="25" t="s">
        <v>250</v>
      </c>
      <c r="F17" s="25" t="s">
        <v>109</v>
      </c>
      <c r="G17" s="25" t="s">
        <v>117</v>
      </c>
      <c r="H17" s="155" t="s">
        <v>394</v>
      </c>
      <c r="I17" s="155" t="s">
        <v>10</v>
      </c>
      <c r="J17" s="155" t="s">
        <v>401</v>
      </c>
      <c r="K17" s="155" t="s">
        <v>402</v>
      </c>
      <c r="L17" s="155" t="s">
        <v>2</v>
      </c>
      <c r="M17" s="155" t="s">
        <v>6</v>
      </c>
      <c r="N17" s="155" t="s">
        <v>3</v>
      </c>
      <c r="O17" s="155" t="s">
        <v>400</v>
      </c>
      <c r="P17" s="155" t="s">
        <v>4</v>
      </c>
      <c r="Q17" s="155" t="s">
        <v>7</v>
      </c>
      <c r="R17" s="155" t="s">
        <v>8</v>
      </c>
      <c r="S17" s="155" t="s">
        <v>9</v>
      </c>
      <c r="T17" s="155"/>
      <c r="U17" s="155" t="s">
        <v>86</v>
      </c>
      <c r="V17" s="155" t="s">
        <v>88</v>
      </c>
      <c r="W17" s="155" t="s">
        <v>71</v>
      </c>
      <c r="X17" s="155" t="s">
        <v>8</v>
      </c>
      <c r="Y17" s="155" t="s">
        <v>89</v>
      </c>
      <c r="Z17" s="3" t="s">
        <v>50</v>
      </c>
    </row>
    <row r="18" spans="1:26" x14ac:dyDescent="0.2">
      <c r="A18" s="4"/>
      <c r="B18" s="4"/>
      <c r="C18" s="4"/>
      <c r="D18" s="4"/>
      <c r="E18" s="26"/>
      <c r="F18" s="24"/>
      <c r="G18" s="31"/>
      <c r="H18" s="9"/>
      <c r="I18" s="9"/>
      <c r="J18" s="9"/>
      <c r="K18" s="9"/>
      <c r="L18" s="9"/>
      <c r="M18" s="9"/>
      <c r="N18" s="9"/>
      <c r="O18" s="9"/>
      <c r="P18" s="9"/>
      <c r="Q18" s="9"/>
      <c r="R18" s="9"/>
      <c r="S18" s="9"/>
      <c r="T18" s="9"/>
      <c r="U18" s="9"/>
      <c r="V18" s="9"/>
      <c r="W18" s="9"/>
      <c r="X18" s="9"/>
      <c r="Y18" s="9"/>
      <c r="Z18" s="4"/>
    </row>
    <row r="19" spans="1:26" x14ac:dyDescent="0.2">
      <c r="A19" s="10" t="s">
        <v>11</v>
      </c>
      <c r="B19" s="10"/>
      <c r="C19" s="10"/>
      <c r="D19" s="10"/>
      <c r="E19" s="27"/>
      <c r="F19" s="28"/>
      <c r="G19" s="32"/>
      <c r="H19" s="6"/>
      <c r="I19" s="6"/>
      <c r="J19" s="6"/>
      <c r="K19" s="6"/>
      <c r="L19" s="9"/>
      <c r="M19" s="9"/>
      <c r="N19" s="9"/>
      <c r="O19" s="9"/>
      <c r="P19" s="9"/>
      <c r="Q19" s="9"/>
      <c r="R19" s="9"/>
      <c r="S19" s="9"/>
      <c r="T19" s="9"/>
      <c r="U19" s="9"/>
      <c r="V19" s="9"/>
      <c r="W19" s="9"/>
      <c r="X19" s="9"/>
      <c r="Y19" s="9"/>
      <c r="Z19" s="4"/>
    </row>
    <row r="20" spans="1:26" x14ac:dyDescent="0.2">
      <c r="A20" s="9" t="s">
        <v>12</v>
      </c>
      <c r="B20" s="115"/>
      <c r="C20" s="115"/>
      <c r="D20" s="132"/>
      <c r="E20" s="174"/>
      <c r="F20" s="175"/>
      <c r="G20" s="33"/>
      <c r="H20" s="6"/>
      <c r="I20" s="6">
        <f>IF(G20&gt;0,G20,H20-(L20*B$2*1.05)+M20-O20*12.5+P20)</f>
        <v>0.54042810395622842</v>
      </c>
      <c r="J20" s="6"/>
      <c r="K20" s="6"/>
      <c r="L20" s="11">
        <v>2.06175</v>
      </c>
      <c r="M20" s="21">
        <f t="shared" ref="M20:M23" si="0">L20*B$3*(1+B$13)</f>
        <v>4.1492718749999993</v>
      </c>
      <c r="N20" s="12">
        <v>0.25072390572390574</v>
      </c>
      <c r="O20" s="12">
        <f t="shared" ref="O20:O23" si="1">N20*(1+B$16)</f>
        <v>0.28833249158249158</v>
      </c>
      <c r="P20" s="21">
        <f>O20*B$4*(1-B$7)+O20*B$6*(B$7)</f>
        <v>4.3249873737373736</v>
      </c>
      <c r="Q20" s="21">
        <f>I20-M20-P20</f>
        <v>-7.9338311447811449</v>
      </c>
      <c r="R20" s="21">
        <f>Q20*B$12</f>
        <v>-2.6181642777777778</v>
      </c>
      <c r="S20" s="21">
        <f>Q20-R20</f>
        <v>-5.3156668670033671</v>
      </c>
      <c r="T20" s="9"/>
      <c r="U20" s="21">
        <f t="shared" ref="U20:U29" si="2">IF(U$15="Increase",IF(F20="y",0,IF($E20&gt;0,M20*$E20*(1+U$16),0)),IF(F20="y",0,IF($E20&gt;0,M20*$E20*(1-U$16),0)))</f>
        <v>0</v>
      </c>
      <c r="V20" s="21">
        <f>IF(V$15="Increase",IF(F20="y",0,IF($E20&gt;0,(O20*B$4*(1-B$7))*$E20*(1+V$16),0)),IF(F20="y",0,IF($E20&gt;0,(O20*B$4*(1-B$7))*$E20*(1-V$16),0)))</f>
        <v>0</v>
      </c>
      <c r="W20" s="21">
        <f>IF(W$15="Increase",IF(F20="y",0,IF($E20&gt;0,(O20*B$6*(B$7))*$E20*(1+W$16),0)),IF(F20="y",0,IF($E20&gt;0,(O20*B$6*(B$7))*$E20*(1-W$16),0)))</f>
        <v>0</v>
      </c>
      <c r="X20" s="21">
        <f t="shared" ref="X20:X29" si="3">IF(X$15="Increase",IF(F20="y",0,IF($E20&gt;0,R20*$E20*(1+X$16),0)),IF(F20="y",0,IF($E20&gt;0,R20*$E20*(1-X$16),0)))</f>
        <v>0</v>
      </c>
      <c r="Y20" s="21">
        <f t="shared" ref="Y20:Y28" si="4">IF(Y$15="Increase",IF(F20="y",0,IF($E20&gt;0,S20*$E20*(1+Y$16),0)),IF(F20="y",0,IF($E20&gt;0,S20*$E20*(1-Y$16),0)))</f>
        <v>0</v>
      </c>
      <c r="Z20" s="21">
        <f t="shared" ref="Z20:Z29" si="5">IF(Z$15="Increase",IF(F20="y",I20*E20*(1+Z$16),0),IF(F20="y",I20*E20*(1-Z$16),0))</f>
        <v>0</v>
      </c>
    </row>
    <row r="21" spans="1:26" x14ac:dyDescent="0.2">
      <c r="A21" s="9" t="s">
        <v>13</v>
      </c>
      <c r="B21" s="115">
        <v>0.5</v>
      </c>
      <c r="C21" s="115">
        <v>0</v>
      </c>
      <c r="D21" s="132">
        <f>IF('Machinery(GMO)'!B34='Machinery(GMO)'!G56,'Machinery(GMO)'!D34,IF('Machinery(GMO)'!B35='Machinery(GMO)'!G60,'Machinery(GMO)'!D35,0))</f>
        <v>0</v>
      </c>
      <c r="E21" s="174">
        <f>IF('Machinery(GMO)'!$C$16='Machinery(GMO)'!$B$68,0,IF('Machinery(GMO)'!C17='Machinery(GMO)'!B72,D21,IF(OR('Machinery(GMO)'!B34='Machinery(GMO)'!G56,'Machinery(GMO)'!B35='Machinery(GMO)'!G60),B21)))</f>
        <v>0</v>
      </c>
      <c r="F21" s="175" t="str">
        <f>IF('Machinery(GMO)'!C17='Machinery(GMO)'!B73,'Machinery(GMO)'!B50,IF('Machinery(GMO)'!B34='Machinery(GMO)'!G56,'Machinery(GMO)'!E34,IF('Machinery(GMO)'!B35='Machinery(GMO)'!G60,'Machinery(GMO)'!E35,'Machinery(GMO)'!B50)))</f>
        <v>N</v>
      </c>
      <c r="G21" s="33"/>
      <c r="H21" s="6">
        <v>18</v>
      </c>
      <c r="I21" s="6">
        <f>H21+J21+K21</f>
        <v>17.734999999999999</v>
      </c>
      <c r="J21" s="6">
        <f>L21*(B$3-B$2)</f>
        <v>-0.26500000000000001</v>
      </c>
      <c r="K21" s="6">
        <f>(B$4*(1-B$7)+B$6*(B$7) - B$14)*O21</f>
        <v>0</v>
      </c>
      <c r="L21" s="11">
        <v>1.06</v>
      </c>
      <c r="M21" s="21">
        <f>L21*B$3*(1+B$13)</f>
        <v>2.1332499999999999</v>
      </c>
      <c r="N21" s="12">
        <v>6.6969696969696971E-2</v>
      </c>
      <c r="O21" s="12">
        <f>N21*(1+B$16)</f>
        <v>7.7015151515151509E-2</v>
      </c>
      <c r="P21" s="21">
        <f>O21*B$4*(1-B$7)+O21*B$6*(B$7)</f>
        <v>1.1552272727272725</v>
      </c>
      <c r="Q21" s="21">
        <f t="shared" ref="Q21:Q29" si="6">I21-M21-P21</f>
        <v>14.446522727272727</v>
      </c>
      <c r="R21" s="21">
        <f>Q21*B$12</f>
        <v>4.7673525000000003</v>
      </c>
      <c r="S21" s="21">
        <f t="shared" ref="S21:S29" si="7">Q21-R21</f>
        <v>9.6791702272727278</v>
      </c>
      <c r="T21" s="9"/>
      <c r="U21" s="21">
        <f t="shared" si="2"/>
        <v>0</v>
      </c>
      <c r="V21" s="21">
        <f>IF(V$15="Increase",IF(F21="y",0,IF($E21&gt;0,(O21*B$4*(1-B$7))*$E21*(1+V$16),0)),IF(F21="y",0,IF($E21&gt;0,(O21*B$4*(1-B$7))*$E21*(1-V$16),0)))</f>
        <v>0</v>
      </c>
      <c r="W21" s="21">
        <f>IF(W$15="Increase",IF(F21="y",0,IF($E21&gt;0,(O21*B$6*(B$7))*$E21*(1+W$16),0)),IF(F21="y",0,IF($E21&gt;0,(O21*B$6*(B$7))*$E21*(1-W$16),0)))</f>
        <v>0</v>
      </c>
      <c r="X21" s="21">
        <f t="shared" si="3"/>
        <v>0</v>
      </c>
      <c r="Y21" s="21">
        <f t="shared" si="4"/>
        <v>0</v>
      </c>
      <c r="Z21" s="21">
        <f t="shared" si="5"/>
        <v>0</v>
      </c>
    </row>
    <row r="22" spans="1:26" x14ac:dyDescent="0.2">
      <c r="A22" s="9" t="s">
        <v>14</v>
      </c>
      <c r="B22" s="115">
        <v>0.5</v>
      </c>
      <c r="C22" s="115">
        <v>0</v>
      </c>
      <c r="D22" s="132">
        <f>IF('Machinery(GMO)'!B34='Machinery(GMO)'!G57,'Machinery(GMO)'!D34,IF('Machinery(GMO)'!B35='Machinery(GMO)'!G61,'Machinery(GMO)'!D35,0))</f>
        <v>0</v>
      </c>
      <c r="E22" s="174">
        <f>IF('Machinery(GMO)'!$C$16='Machinery(GMO)'!$B$68,0,IF('Machinery(GMO)'!C17='Machinery(GMO)'!B72,D22,IF(OR('Machinery(GMO)'!B34='Machinery(GMO)'!G57,'Machinery(GMO)'!B35='Machinery(GMO)'!G61),B22)))</f>
        <v>0</v>
      </c>
      <c r="F22" s="175" t="str">
        <f>IF('Machinery(GMO)'!C17='Machinery(GMO)'!B73,'Machinery(GMO)'!B50,IF('Machinery(GMO)'!B34='Machinery(GMO)'!G57,'Machinery(GMO)'!E34,IF('Machinery(GMO)'!B35='Machinery(GMO)'!G61,'Machinery(GMO)'!E35,'Machinery(GMO)'!B50)))</f>
        <v>N</v>
      </c>
      <c r="G22" s="33"/>
      <c r="H22" s="6">
        <v>15.5</v>
      </c>
      <c r="I22" s="327">
        <f>H22+J22+K22</f>
        <v>15.2745</v>
      </c>
      <c r="J22" s="6">
        <f>L22*(B$3-B$2)</f>
        <v>-0.22550000000000001</v>
      </c>
      <c r="K22" s="6">
        <f>(B$4*(1-B$7)+B$6*(B$7) - B$14)*O22</f>
        <v>0</v>
      </c>
      <c r="L22" s="11">
        <v>0.90200000000000002</v>
      </c>
      <c r="M22" s="21">
        <f>L22*B$3*(1+B$13)</f>
        <v>1.815275</v>
      </c>
      <c r="N22" s="12">
        <v>0.13191919191919191</v>
      </c>
      <c r="O22" s="12">
        <f t="shared" si="1"/>
        <v>0.15170707070707068</v>
      </c>
      <c r="P22" s="21">
        <f>O22*B$4*(1-B$7)+O22*B$6*(B$7)</f>
        <v>2.2756060606060604</v>
      </c>
      <c r="Q22" s="21">
        <f t="shared" si="6"/>
        <v>11.18361893939394</v>
      </c>
      <c r="R22" s="21">
        <f>Q22*B$12</f>
        <v>3.6905942500000002</v>
      </c>
      <c r="S22" s="21">
        <f t="shared" si="7"/>
        <v>7.4930246893939394</v>
      </c>
      <c r="T22" s="9"/>
      <c r="U22" s="21">
        <f t="shared" si="2"/>
        <v>0</v>
      </c>
      <c r="V22" s="21">
        <f>IF(V$15="Increase",IF(F22="y",0,IF($E22&gt;0,(O22*B$4*(1-B$7))*$E22*(1+V$16),0)),IF(F22="y",0,IF($E22&gt;0,(O22*B$4*(1-B$7))*$E22*(1-V$16),0)))</f>
        <v>0</v>
      </c>
      <c r="W22" s="21">
        <f>IF(W$15="Increase",IF(F22="y",0,IF($E22&gt;0,(O22*B$6*(B$7))*$E22*(1+W$16),0)),IF(F22="y",0,IF($E22&gt;0,(O22*B$6*(B$7))*$E22*(1-W$16),0)))</f>
        <v>0</v>
      </c>
      <c r="X22" s="21">
        <f t="shared" si="3"/>
        <v>0</v>
      </c>
      <c r="Y22" s="21">
        <f t="shared" si="4"/>
        <v>0</v>
      </c>
      <c r="Z22" s="21">
        <f t="shared" si="5"/>
        <v>0</v>
      </c>
    </row>
    <row r="23" spans="1:26" x14ac:dyDescent="0.2">
      <c r="A23" s="9" t="s">
        <v>15</v>
      </c>
      <c r="B23" s="9"/>
      <c r="C23" s="9"/>
      <c r="D23" s="132"/>
      <c r="E23" s="176"/>
      <c r="F23" s="175"/>
      <c r="G23" s="33"/>
      <c r="H23" s="6"/>
      <c r="I23" s="6">
        <f>IF(G23&gt;0,G23,H23-(L23*B$2*1.05)+M23-O23*12.5+P23)</f>
        <v>0.24100462962962865</v>
      </c>
      <c r="J23" s="6"/>
      <c r="K23" s="6"/>
      <c r="L23" s="11">
        <v>1.87</v>
      </c>
      <c r="M23" s="21">
        <f t="shared" si="0"/>
        <v>3.7633749999999995</v>
      </c>
      <c r="N23" s="12">
        <v>0.14074074074074072</v>
      </c>
      <c r="O23" s="12">
        <f t="shared" si="1"/>
        <v>0.16185185185185183</v>
      </c>
      <c r="P23" s="21">
        <f>O23*B$4*(1-B$7)+O23*B$6*(B$7)</f>
        <v>2.4277777777777776</v>
      </c>
      <c r="Q23" s="21">
        <f t="shared" si="6"/>
        <v>-5.9501481481481484</v>
      </c>
      <c r="R23" s="21">
        <f>Q23*B$12</f>
        <v>-1.963548888888889</v>
      </c>
      <c r="S23" s="21">
        <f t="shared" si="7"/>
        <v>-3.9865992592592594</v>
      </c>
      <c r="T23" s="9"/>
      <c r="U23" s="21">
        <f t="shared" si="2"/>
        <v>0</v>
      </c>
      <c r="V23" s="21">
        <f>IF(V$15="Increase",IF(F23="y",0,IF($E23&gt;0,(O23*B$4*(1-B$7))*$E23*(1+V$16),0)),IF(F23="y",0,IF($E23&gt;0,(O23*B$4*(1-B$7))*$E23*(1-V$16),0)))</f>
        <v>0</v>
      </c>
      <c r="W23" s="21">
        <f>IF(W$15="Increase",IF(F23="y",0,IF($E23&gt;0,(O23*B$6*(B$7))*$E23*(1+W$16),0)),IF(F23="y",0,IF($E23&gt;0,(O23*B$6*(B$7))*$E23*(1-W$16),0)))</f>
        <v>0</v>
      </c>
      <c r="X23" s="21">
        <f t="shared" si="3"/>
        <v>0</v>
      </c>
      <c r="Y23" s="21">
        <f t="shared" si="4"/>
        <v>0</v>
      </c>
      <c r="Z23" s="21">
        <f t="shared" si="5"/>
        <v>0</v>
      </c>
    </row>
    <row r="24" spans="1:26" x14ac:dyDescent="0.2">
      <c r="A24" s="9"/>
      <c r="B24" s="9"/>
      <c r="C24" s="9"/>
      <c r="D24" s="132"/>
      <c r="E24" s="176"/>
      <c r="F24" s="175"/>
      <c r="G24" s="33"/>
      <c r="H24" s="6"/>
      <c r="I24" s="6"/>
      <c r="J24" s="6"/>
      <c r="K24" s="6"/>
      <c r="L24" s="11"/>
      <c r="M24" s="21"/>
      <c r="N24" s="12"/>
      <c r="O24" s="12"/>
      <c r="P24" s="21"/>
      <c r="Q24" s="21"/>
      <c r="R24" s="21"/>
      <c r="S24" s="21"/>
      <c r="T24" s="9"/>
      <c r="U24" s="21"/>
      <c r="V24" s="21"/>
      <c r="W24" s="21"/>
      <c r="X24" s="21"/>
      <c r="Y24" s="21"/>
      <c r="Z24" s="21"/>
    </row>
    <row r="25" spans="1:26" x14ac:dyDescent="0.2">
      <c r="A25" s="9" t="s">
        <v>16</v>
      </c>
      <c r="B25" s="115">
        <v>2</v>
      </c>
      <c r="C25" s="115">
        <v>0</v>
      </c>
      <c r="D25" s="132">
        <f>IF('Machinery(GMO)'!C16='Machinery(GMO)'!B68,0,'Machinery(GMO)'!D28)</f>
        <v>0</v>
      </c>
      <c r="E25" s="174">
        <f>IF('Machinery(GMO)'!$C$17='Machinery(GMO)'!$B$72,D25,IF('Machinery(GMO)'!$C$16='Machinery(GMO)'!$B$69,B25,C25))</f>
        <v>0</v>
      </c>
      <c r="F25" s="175" t="str">
        <f>IF('Machinery(GMO)'!C17='Machinery(GMO)'!B73,'Machinery(GMO)'!B50,'Machinery(GMO)'!E28)</f>
        <v>N</v>
      </c>
      <c r="G25" s="33"/>
      <c r="H25" s="6">
        <v>14.5</v>
      </c>
      <c r="I25" s="327">
        <f>H25+J25+K25</f>
        <v>14.343999999999999</v>
      </c>
      <c r="J25" s="6">
        <f>L25*(B$3-B$2)</f>
        <v>-0.15600000000000003</v>
      </c>
      <c r="K25" s="6">
        <f>(B$4*(1-B$7)+B$6*(B$7) - B$14)*O25</f>
        <v>0</v>
      </c>
      <c r="L25" s="11">
        <v>0.62400000000000011</v>
      </c>
      <c r="M25" s="21">
        <f t="shared" ref="M25:M29" si="8">L25*B$3*(1+B$13)</f>
        <v>1.2558</v>
      </c>
      <c r="N25" s="12">
        <v>4.631313131313132E-2</v>
      </c>
      <c r="O25" s="12">
        <f t="shared" ref="O25:O29" si="9">N25*(1+B$16)</f>
        <v>5.3260101010101014E-2</v>
      </c>
      <c r="P25" s="21">
        <f>O25*B$4*(1-B$7)+O25*B$6*(B$7)</f>
        <v>0.7989015151515152</v>
      </c>
      <c r="Q25" s="21">
        <f t="shared" si="6"/>
        <v>12.289298484848484</v>
      </c>
      <c r="R25" s="21">
        <f>Q25*B$12</f>
        <v>4.0554684999999999</v>
      </c>
      <c r="S25" s="21">
        <f t="shared" si="7"/>
        <v>8.2338299848484837</v>
      </c>
      <c r="T25" s="9"/>
      <c r="U25" s="21">
        <f t="shared" si="2"/>
        <v>0</v>
      </c>
      <c r="V25" s="21">
        <f>IF(V$15="Increase",IF(F25="y",0,IF($E25&gt;0,(O25*B$4*(1-B$7))*$E25*(1+V$16),0)),IF(F25="y",0,IF($E25&gt;0,(O25*B$4*(1-B$7))*$E25*(1-V$16),0)))</f>
        <v>0</v>
      </c>
      <c r="W25" s="21">
        <f>IF(W$15="Increase",IF(F25="y",0,IF($E25&gt;0,(O25*B$6*(B$7))*$E25*(1+W$16),0)),IF(F25="y",0,IF($E25&gt;0,(O25*B$6*(B$7))*$E25*(1-W$16),0)))</f>
        <v>0</v>
      </c>
      <c r="X25" s="21">
        <f t="shared" si="3"/>
        <v>0</v>
      </c>
      <c r="Y25" s="21">
        <f t="shared" si="4"/>
        <v>0</v>
      </c>
      <c r="Z25" s="21">
        <f t="shared" si="5"/>
        <v>0</v>
      </c>
    </row>
    <row r="26" spans="1:26" x14ac:dyDescent="0.2">
      <c r="A26" s="9" t="s">
        <v>17</v>
      </c>
      <c r="B26" s="9"/>
      <c r="C26" s="9"/>
      <c r="D26" s="108"/>
      <c r="E26" s="176"/>
      <c r="F26" s="175"/>
      <c r="G26" s="33"/>
      <c r="H26" s="6"/>
      <c r="I26" s="6">
        <f>IF(G26&gt;0,G26,H26-(L26*B$2*1.05)+M26-O26*12.5+P26)</f>
        <v>0.250072727272727</v>
      </c>
      <c r="J26" s="6"/>
      <c r="K26" s="6"/>
      <c r="L26" s="11">
        <v>0.36799999999999999</v>
      </c>
      <c r="M26" s="21">
        <f t="shared" si="8"/>
        <v>0.74059999999999993</v>
      </c>
      <c r="N26" s="12">
        <v>9.818181818181819E-2</v>
      </c>
      <c r="O26" s="12">
        <f t="shared" si="9"/>
        <v>0.1129090909090909</v>
      </c>
      <c r="P26" s="21">
        <f>O26*B$4*(1-B$7)+O26*B$6*(B$7)</f>
        <v>1.6936363636363636</v>
      </c>
      <c r="Q26" s="21">
        <f t="shared" si="6"/>
        <v>-2.1841636363636363</v>
      </c>
      <c r="R26" s="21">
        <f>Q26*B$12</f>
        <v>-0.72077400000000003</v>
      </c>
      <c r="S26" s="21">
        <f t="shared" si="7"/>
        <v>-1.4633896363636363</v>
      </c>
      <c r="T26" s="9"/>
      <c r="U26" s="21">
        <f t="shared" si="2"/>
        <v>0</v>
      </c>
      <c r="V26" s="21">
        <f>IF(V$15="Increase",IF(F26="y",0,IF($E26&gt;0,(O26*B$4*(1-B$7))*$E26*(1+V$16),0)),IF(F26="y",0,IF($E26&gt;0,(O26*B$4*(1-B$7))*$E26*(1-V$16),0)))</f>
        <v>0</v>
      </c>
      <c r="W26" s="21">
        <f>IF(W$15="Increase",IF(F26="y",0,IF($E26&gt;0,(O26*B$6*(B$7))*$E26*(1+W$16),0)),IF(F26="y",0,IF($E26&gt;0,(O26*B$6*(B$7))*$E26*(1-W$16),0)))</f>
        <v>0</v>
      </c>
      <c r="X26" s="21">
        <f t="shared" si="3"/>
        <v>0</v>
      </c>
      <c r="Y26" s="21">
        <f t="shared" si="4"/>
        <v>0</v>
      </c>
      <c r="Z26" s="21">
        <f t="shared" si="5"/>
        <v>0</v>
      </c>
    </row>
    <row r="27" spans="1:26" x14ac:dyDescent="0.2">
      <c r="A27" s="9" t="s">
        <v>18</v>
      </c>
      <c r="B27" s="115">
        <v>0.5</v>
      </c>
      <c r="C27" s="115">
        <v>0</v>
      </c>
      <c r="D27" s="132">
        <f>IF('Machinery(GMO)'!B34='Machinery(GMO)'!G58,'Machinery(GMO)'!D34,IF('Machinery(GMO)'!B35='Machinery(GMO)'!G62,'Machinery(GMO)'!D35,0))</f>
        <v>0</v>
      </c>
      <c r="E27" s="174">
        <f>IF('Machinery(GMO)'!$C$16='Machinery(GMO)'!$B$68,0,IF('Machinery(GMO)'!C17='Machinery(GMO)'!B72,D27,IF(OR('Machinery(GMO)'!B34='Machinery(GMO)'!G58,'Machinery(GMO)'!B35='Machinery(GMO)'!G62),B27)))</f>
        <v>0</v>
      </c>
      <c r="F27" s="175" t="str">
        <f>IF('Machinery(GMO)'!C17='Machinery(GMO)'!B73,'Machinery(GMO)'!B50,IF('Machinery(GMO)'!B34='Machinery(GMO)'!G58,'Machinery(GMO)'!E34,IF('Machinery(GMO)'!B35='Machinery(GMO)'!G62,'Machinery(GMO)'!E35,'Machinery(GMO)'!B50)))</f>
        <v>N</v>
      </c>
      <c r="G27" s="33"/>
      <c r="H27" s="6">
        <v>19.5</v>
      </c>
      <c r="I27" s="327">
        <f>H27+J27+K27</f>
        <v>18.916374999999999</v>
      </c>
      <c r="J27" s="6">
        <f>L27*(B$3-B$2)</f>
        <v>-0.58362499999999995</v>
      </c>
      <c r="K27" s="6">
        <f>(B$4*(1-B$7)+B$6*(B$7) - B$14)*O27</f>
        <v>0</v>
      </c>
      <c r="L27" s="11">
        <v>2.3344999999999998</v>
      </c>
      <c r="M27" s="21">
        <f t="shared" si="8"/>
        <v>4.6981812499999993</v>
      </c>
      <c r="N27" s="12">
        <v>0.20636363636363636</v>
      </c>
      <c r="O27" s="12">
        <f t="shared" si="9"/>
        <v>0.23731818181818179</v>
      </c>
      <c r="P27" s="21">
        <f>O27*B$4*(1-B$7)+O27*B$6*(B$7)</f>
        <v>3.5597727272727266</v>
      </c>
      <c r="Q27" s="21">
        <f t="shared" si="6"/>
        <v>10.658421022727273</v>
      </c>
      <c r="R27" s="21">
        <f>Q27*B$12</f>
        <v>3.5172789375000004</v>
      </c>
      <c r="S27" s="21">
        <f t="shared" si="7"/>
        <v>7.1411420852272727</v>
      </c>
      <c r="T27" s="9"/>
      <c r="U27" s="21">
        <f t="shared" si="2"/>
        <v>0</v>
      </c>
      <c r="V27" s="21">
        <f>IF(V$15="Increase",IF(F27="y",0,IF($E27&gt;0,(O27*B$4*(1-B$7))*$E27*(1+V$16),0)),IF(F27="y",0,IF($E27&gt;0,(O27*B$4*(1-B$7))*$E27*(1-V$16),0)))</f>
        <v>0</v>
      </c>
      <c r="W27" s="21">
        <f>IF(W$15="Increase",IF(F27="y",0,IF($E27&gt;0,(O27*B$6*(B$7))*$E27*(1+W$16),0)),IF(F27="y",0,IF($E27&gt;0,(O27*B$6*(B$7))*$E27*(1-W$16),0)))</f>
        <v>0</v>
      </c>
      <c r="X27" s="21">
        <f t="shared" si="3"/>
        <v>0</v>
      </c>
      <c r="Y27" s="21">
        <f t="shared" si="4"/>
        <v>0</v>
      </c>
      <c r="Z27" s="21">
        <f t="shared" si="5"/>
        <v>0</v>
      </c>
    </row>
    <row r="28" spans="1:26" x14ac:dyDescent="0.2">
      <c r="A28" s="9" t="s">
        <v>19</v>
      </c>
      <c r="B28" s="9"/>
      <c r="C28" s="9"/>
      <c r="D28" s="108"/>
      <c r="E28" s="176"/>
      <c r="F28" s="175"/>
      <c r="G28" s="33"/>
      <c r="H28" s="6"/>
      <c r="I28" s="6">
        <f>IF(G28&gt;0,G28,H28-(L28*B$2*1.05)+M28-O28*12.5+P28)</f>
        <v>0.2076937815656561</v>
      </c>
      <c r="J28" s="6"/>
      <c r="K28" s="6"/>
      <c r="L28" s="11">
        <v>1.9442499999999998</v>
      </c>
      <c r="M28" s="21">
        <f t="shared" si="8"/>
        <v>3.912803124999999</v>
      </c>
      <c r="N28" s="12">
        <v>0.13141414141414143</v>
      </c>
      <c r="O28" s="12">
        <f t="shared" si="9"/>
        <v>0.15112626262626264</v>
      </c>
      <c r="P28" s="21">
        <f>O28*B$4*(1-B$7)+O28*B$6*(B$7)</f>
        <v>2.2668939393939396</v>
      </c>
      <c r="Q28" s="21">
        <f t="shared" si="6"/>
        <v>-5.9720032828282825</v>
      </c>
      <c r="R28" s="21">
        <f>Q28*B$12</f>
        <v>-1.9707610833333333</v>
      </c>
      <c r="S28" s="21">
        <f t="shared" si="7"/>
        <v>-4.001242199494949</v>
      </c>
      <c r="T28" s="9"/>
      <c r="U28" s="21">
        <f t="shared" si="2"/>
        <v>0</v>
      </c>
      <c r="V28" s="21">
        <f>IF(V$15="Increase",IF(F28="y",0,IF($E28&gt;0,(O28*B$4*(1-B$7))*$E28*(1+V$16),0)),IF(F28="y",0,IF($E28&gt;0,(O28*B$4*(1-B$7))*$E28*(1-V$16),0)))</f>
        <v>0</v>
      </c>
      <c r="W28" s="21">
        <f>IF(W$15="Increase",IF(F28="y",0,IF($E28&gt;0,(O28*B$6*(B$7))*$E28*(1+W$16),0)),IF(F28="y",0,IF($E28&gt;0,(O28*B$6*(B$7))*$E28*(1-W$16),0)))</f>
        <v>0</v>
      </c>
      <c r="X28" s="21">
        <f t="shared" si="3"/>
        <v>0</v>
      </c>
      <c r="Y28" s="21">
        <f t="shared" si="4"/>
        <v>0</v>
      </c>
      <c r="Z28" s="21">
        <f t="shared" si="5"/>
        <v>0</v>
      </c>
    </row>
    <row r="29" spans="1:26" x14ac:dyDescent="0.2">
      <c r="A29" s="9" t="s">
        <v>20</v>
      </c>
      <c r="B29" s="115">
        <v>0.5</v>
      </c>
      <c r="C29" s="115">
        <v>0.5</v>
      </c>
      <c r="D29" s="132">
        <f>IF('Machinery(GMO)'!C17='Machinery(GMO)'!B72,'Machinery(GMO)'!D33,0)</f>
        <v>0</v>
      </c>
      <c r="E29" s="174">
        <f>IF('Machinery(GMO)'!B33='Machinery(GMO)'!G53,0,IF('Machinery(GMO)'!C17='Machinery(GMO)'!B72,D29,IF('Machinery(GMO)'!B33='Machinery(GMO)'!G54,IF('Machinery(GMO)'!C16='Machinery(GMO)'!B69,B29,C29))))</f>
        <v>0</v>
      </c>
      <c r="F29" s="175" t="str">
        <f>IF('Machinery(GMO)'!C17='Machinery(GMO)'!B73,'Machinery(GMO)'!B50,IF('Machinery(GMO)'!B33='Machinery(GMO)'!G54,'Machinery(GMO)'!E33,'Machinery(GMO)'!B50))</f>
        <v>N</v>
      </c>
      <c r="G29" s="33"/>
      <c r="H29" s="6">
        <v>13</v>
      </c>
      <c r="I29" s="327">
        <f>H29+J29+K29</f>
        <v>12.78725</v>
      </c>
      <c r="J29" s="6">
        <f>L29*(B$3-B$2)</f>
        <v>-0.21274999999999999</v>
      </c>
      <c r="K29" s="6">
        <f>(B$4*(1-B$7)+B$6*(B$7) - B$14)*O29</f>
        <v>0</v>
      </c>
      <c r="L29" s="11">
        <v>0.85099999999999998</v>
      </c>
      <c r="M29" s="21">
        <f t="shared" si="8"/>
        <v>1.7126374999999998</v>
      </c>
      <c r="N29" s="12">
        <v>0.14181818181818182</v>
      </c>
      <c r="O29" s="12">
        <f t="shared" si="9"/>
        <v>0.16309090909090906</v>
      </c>
      <c r="P29" s="21">
        <f>O29*B$4*(1-B$7)+O29*B$6*(B$7)</f>
        <v>2.4463636363636359</v>
      </c>
      <c r="Q29" s="21">
        <f t="shared" si="6"/>
        <v>8.6282488636363652</v>
      </c>
      <c r="R29" s="21">
        <f>Q29*B$12</f>
        <v>2.8473221250000007</v>
      </c>
      <c r="S29" s="21">
        <f t="shared" si="7"/>
        <v>5.7809267386363645</v>
      </c>
      <c r="T29" s="9"/>
      <c r="U29" s="21">
        <f t="shared" si="2"/>
        <v>0</v>
      </c>
      <c r="V29" s="21">
        <f>IF(V$15="Increase",IF(F29="y",0,IF($E29&gt;0,(O29*B$4*(1-B$7))*$E29*(1+V$16),0)),IF(F29="y",0,IF($E29&gt;0,(O29*B$4*(1-B$7))*$E29*(1-V$16),0)))</f>
        <v>0</v>
      </c>
      <c r="W29" s="21">
        <f>IF(W$15="Increase",IF(F29="y",0,IF($E29&gt;0,(O29*B$6*(B$7))*$E29*(1+W$16),0)),IF(F29="y",0,IF($E29&gt;0,(O29*B$6*(B$7))*$E29*(1-W$16),0)))</f>
        <v>0</v>
      </c>
      <c r="X29" s="21">
        <f t="shared" si="3"/>
        <v>0</v>
      </c>
      <c r="Y29" s="21">
        <f>IF(Y$15="Increase",IF(F29="y",0,IF($E29&gt;0,S29*$E29*(1+Y$16),0)),IF(F29="y",0,IF($E29&gt;0,S29*$E29*(1-Y$16),0)))</f>
        <v>0</v>
      </c>
      <c r="Z29" s="21">
        <f t="shared" si="5"/>
        <v>0</v>
      </c>
    </row>
    <row r="30" spans="1:26" x14ac:dyDescent="0.2">
      <c r="A30" s="9"/>
      <c r="B30" s="9"/>
      <c r="C30" s="9"/>
      <c r="D30" s="108"/>
      <c r="E30" s="176"/>
      <c r="F30" s="175"/>
      <c r="G30" s="33"/>
      <c r="H30" s="6"/>
      <c r="I30" s="6"/>
      <c r="J30" s="6"/>
      <c r="K30" s="6"/>
      <c r="L30" s="9"/>
      <c r="M30" s="9"/>
      <c r="N30" s="9"/>
      <c r="O30" s="9"/>
      <c r="P30" s="9"/>
      <c r="Q30" s="9"/>
      <c r="R30" s="9"/>
      <c r="S30" s="9"/>
      <c r="T30" s="9"/>
      <c r="U30" s="9"/>
      <c r="V30" s="9"/>
      <c r="W30" s="9"/>
      <c r="X30" s="9"/>
      <c r="Y30" s="9"/>
      <c r="Z30" s="4"/>
    </row>
    <row r="31" spans="1:26" x14ac:dyDescent="0.2">
      <c r="A31" s="10" t="s">
        <v>21</v>
      </c>
      <c r="B31" s="10"/>
      <c r="C31" s="10"/>
      <c r="D31" s="173"/>
      <c r="E31" s="176"/>
      <c r="F31" s="175"/>
      <c r="G31" s="33"/>
      <c r="H31" s="6"/>
      <c r="I31" s="6"/>
      <c r="J31" s="6"/>
      <c r="K31" s="6"/>
      <c r="L31" s="9"/>
      <c r="M31" s="9"/>
      <c r="N31" s="9"/>
      <c r="O31" s="9"/>
      <c r="P31" s="9"/>
      <c r="Q31" s="9"/>
      <c r="R31" s="9"/>
      <c r="S31" s="9"/>
      <c r="T31" s="9"/>
      <c r="U31" s="9"/>
      <c r="V31" s="9"/>
      <c r="W31" s="9"/>
      <c r="X31" s="9"/>
      <c r="Y31" s="9"/>
      <c r="Z31" s="4"/>
    </row>
    <row r="32" spans="1:26" x14ac:dyDescent="0.2">
      <c r="A32" s="9" t="s">
        <v>22</v>
      </c>
      <c r="B32" s="115">
        <v>1</v>
      </c>
      <c r="C32" s="115">
        <v>0</v>
      </c>
      <c r="D32" s="132">
        <f>IF('Machinery(GMO)'!C16='Machinery(GMO)'!B68,0,'Machinery(GMO)'!D22)</f>
        <v>0</v>
      </c>
      <c r="E32" s="174">
        <f>IF('Machinery(GMO)'!$C$17='Machinery(GMO)'!$B$72,D32,IF('Machinery(GMO)'!$C$16='Machinery(GMO)'!$B$69,B32,C32))</f>
        <v>0</v>
      </c>
      <c r="F32" s="175" t="str">
        <f>IF('Machinery(GMO)'!C17='Machinery(GMO)'!B73,'Machinery(GMO)'!B50,'Machinery(GMO)'!E22)</f>
        <v>N</v>
      </c>
      <c r="G32" s="33"/>
      <c r="H32" s="6">
        <v>19</v>
      </c>
      <c r="I32" s="327">
        <f>H32+J32+K32</f>
        <v>18.882375</v>
      </c>
      <c r="J32" s="6">
        <f>L32*(B$3-B$2)</f>
        <v>-0.11762500000000001</v>
      </c>
      <c r="K32" s="6">
        <f>(B$4*(1-B$7)+B$6*(B$7) - B$14)*O32</f>
        <v>0</v>
      </c>
      <c r="L32" s="11">
        <v>0.47050000000000003</v>
      </c>
      <c r="M32" s="21">
        <f>L32*B$3*(1+B$13)</f>
        <v>0.94688125000000001</v>
      </c>
      <c r="N32" s="12">
        <v>8.037037037037037E-2</v>
      </c>
      <c r="O32" s="12">
        <f t="shared" ref="O32" si="10">N32*(1+B$16)</f>
        <v>9.2425925925925911E-2</v>
      </c>
      <c r="P32" s="21">
        <f>O32*B$4*(1-B$7)+O32*B$6*(B$7)</f>
        <v>1.3863888888888887</v>
      </c>
      <c r="Q32" s="21">
        <f t="shared" ref="Q32:Q37" si="11">I32-M32-P32</f>
        <v>16.549104861111111</v>
      </c>
      <c r="R32" s="21">
        <f>Q32*B$12</f>
        <v>5.4612046041666673</v>
      </c>
      <c r="S32" s="21">
        <f t="shared" ref="S32:S37" si="12">Q32-R32</f>
        <v>11.087900256944444</v>
      </c>
      <c r="T32" s="9"/>
      <c r="U32" s="21">
        <f t="shared" ref="U32:U37" si="13">IF(U$15="Increase",IF(F32="y",0,IF($E32&gt;0,M32*$E32*(1+U$16),0)),IF(F32="y",0,IF($E32&gt;0,M32*$E32*(1-U$16),0)))</f>
        <v>0</v>
      </c>
      <c r="V32" s="21">
        <f>IF(V$15="Increase",IF(F32="y",0,IF($E32&gt;0,(O32*B$4*(1-B$7))*$E32*(1+V$16),0)),IF(F32="y",0,IF($E32&gt;0,(O32*B$4*(1-B$7))*$E32*(1-V$16),0)))</f>
        <v>0</v>
      </c>
      <c r="W32" s="21">
        <f>IF(W$15="Increase",IF(F32="y",0,IF($E32&gt;0,(O32*B$6*(B$7))*$E32*(1+W$16),0)),IF(F32="y",0,IF($E32&gt;0,(O32*B$6*(B$7))*$E32*(1-W$16),0)))</f>
        <v>0</v>
      </c>
      <c r="X32" s="21">
        <f t="shared" ref="X32:X37" si="14">IF(X$15="Increase",IF(F32="y",0,IF($E32&gt;0,R32*$E32*(1+X$16),0)),IF(F32="y",0,IF($E32&gt;0,R32*$E32*(1-X$16),0)))</f>
        <v>0</v>
      </c>
      <c r="Y32" s="21">
        <f t="shared" ref="Y32:Y37" si="15">IF(Y$15="Increase",IF(F32="y",0,IF($E32&gt;0,S32*$E32*(1+Y$16),0)),IF(F32="y",0,IF($E32&gt;0,S32*$E32*(1-Y$16),0)))</f>
        <v>0</v>
      </c>
      <c r="Z32" s="21">
        <f t="shared" ref="Z32:Z37" si="16">IF(Z$15="Increase",IF(F32="y",I32*E32*(1+Z$16),0),IF(F32="y",I32*E32*(1-Z$16),0))</f>
        <v>0</v>
      </c>
    </row>
    <row r="33" spans="1:26" x14ac:dyDescent="0.2">
      <c r="A33" s="9"/>
      <c r="B33" s="9"/>
      <c r="C33" s="9"/>
      <c r="D33" s="108"/>
      <c r="E33" s="176"/>
      <c r="F33" s="175"/>
      <c r="G33" s="33"/>
      <c r="H33" s="6"/>
      <c r="I33" s="6"/>
      <c r="J33" s="6"/>
      <c r="K33" s="6"/>
      <c r="L33" s="11"/>
      <c r="M33" s="21"/>
      <c r="N33" s="12"/>
      <c r="O33" s="12"/>
      <c r="P33" s="21"/>
      <c r="Q33" s="21"/>
      <c r="R33" s="21"/>
      <c r="S33" s="21"/>
      <c r="T33" s="9"/>
      <c r="U33" s="21"/>
      <c r="V33" s="21"/>
      <c r="W33" s="21"/>
      <c r="X33" s="21"/>
      <c r="Y33" s="21"/>
      <c r="Z33" s="21"/>
    </row>
    <row r="34" spans="1:26" x14ac:dyDescent="0.2">
      <c r="A34" s="9" t="s">
        <v>24</v>
      </c>
      <c r="B34" s="9"/>
      <c r="C34" s="9"/>
      <c r="D34" s="108"/>
      <c r="E34" s="176"/>
      <c r="F34" s="175"/>
      <c r="G34" s="33"/>
      <c r="H34" s="6"/>
      <c r="I34" s="6">
        <f>IF(G34&gt;0,G34,H34-(L34*B$2*1.05)+M34-O34*12.5+P34)</f>
        <v>0.21702800925925914</v>
      </c>
      <c r="J34" s="6"/>
      <c r="K34" s="6"/>
      <c r="L34" s="11">
        <v>0.52550000000000008</v>
      </c>
      <c r="M34" s="21">
        <f t="shared" ref="M34:M37" si="17">L34*B$3*(1+B$13)</f>
        <v>1.0575687500000002</v>
      </c>
      <c r="N34" s="12">
        <v>9.1481481481481469E-2</v>
      </c>
      <c r="O34" s="12">
        <f t="shared" ref="O34:O37" si="18">N34*(1+B$16)</f>
        <v>0.10520370370370369</v>
      </c>
      <c r="P34" s="21">
        <f t="shared" ref="P34:P37" si="19">O34*B$4*(1-B$7)+O34*B$6*(B$7)</f>
        <v>1.5780555555555553</v>
      </c>
      <c r="Q34" s="21">
        <f t="shared" si="11"/>
        <v>-2.4185962962962964</v>
      </c>
      <c r="R34" s="21">
        <f t="shared" ref="R34:R37" si="20">Q34*B$12</f>
        <v>-0.79813677777777781</v>
      </c>
      <c r="S34" s="21">
        <f t="shared" si="12"/>
        <v>-1.6204595185185187</v>
      </c>
      <c r="T34" s="9"/>
      <c r="U34" s="21">
        <f t="shared" si="13"/>
        <v>0</v>
      </c>
      <c r="V34" s="21">
        <f t="shared" ref="V34:V37" si="21">IF(V$15="Increase",IF(F34="y",0,IF($E34&gt;0,(O34*B$4*(1-B$7))*$E34*(1+V$16),0)),IF(F34="y",0,IF($E34&gt;0,(O34*B$4*(1-B$7))*$E34*(1-V$16),0)))</f>
        <v>0</v>
      </c>
      <c r="W34" s="21">
        <f t="shared" ref="W34:W37" si="22">IF(W$15="Increase",IF(F34="y",0,IF($E34&gt;0,(O34*B$6*(B$7))*$E34*(1+W$16),0)),IF(F34="y",0,IF($E34&gt;0,(O34*B$6*(B$7))*$E34*(1-W$16),0)))</f>
        <v>0</v>
      </c>
      <c r="X34" s="21">
        <f t="shared" si="14"/>
        <v>0</v>
      </c>
      <c r="Y34" s="21">
        <f t="shared" si="15"/>
        <v>0</v>
      </c>
      <c r="Z34" s="21">
        <f t="shared" si="16"/>
        <v>0</v>
      </c>
    </row>
    <row r="35" spans="1:26" x14ac:dyDescent="0.2">
      <c r="A35" s="9" t="s">
        <v>25</v>
      </c>
      <c r="B35" s="9"/>
      <c r="C35" s="9"/>
      <c r="D35" s="108"/>
      <c r="E35" s="176"/>
      <c r="F35" s="175"/>
      <c r="G35" s="33"/>
      <c r="H35" s="6"/>
      <c r="I35" s="6">
        <f>IF(G35&gt;0,G35,H35-(L35*B$2*1.05)+M35-O35*12.5+P35)</f>
        <v>0.21702800925925914</v>
      </c>
      <c r="J35" s="6"/>
      <c r="K35" s="6"/>
      <c r="L35" s="11">
        <v>0.52550000000000008</v>
      </c>
      <c r="M35" s="21">
        <f t="shared" si="17"/>
        <v>1.0575687500000002</v>
      </c>
      <c r="N35" s="12">
        <v>9.1481481481481469E-2</v>
      </c>
      <c r="O35" s="12">
        <f t="shared" si="18"/>
        <v>0.10520370370370369</v>
      </c>
      <c r="P35" s="21">
        <f t="shared" si="19"/>
        <v>1.5780555555555553</v>
      </c>
      <c r="Q35" s="21">
        <f t="shared" si="11"/>
        <v>-2.4185962962962964</v>
      </c>
      <c r="R35" s="21">
        <f t="shared" si="20"/>
        <v>-0.79813677777777781</v>
      </c>
      <c r="S35" s="21">
        <f t="shared" si="12"/>
        <v>-1.6204595185185187</v>
      </c>
      <c r="T35" s="9"/>
      <c r="U35" s="21">
        <f t="shared" si="13"/>
        <v>0</v>
      </c>
      <c r="V35" s="21">
        <f t="shared" si="21"/>
        <v>0</v>
      </c>
      <c r="W35" s="21">
        <f t="shared" si="22"/>
        <v>0</v>
      </c>
      <c r="X35" s="21">
        <f t="shared" si="14"/>
        <v>0</v>
      </c>
      <c r="Y35" s="21">
        <f t="shared" si="15"/>
        <v>0</v>
      </c>
      <c r="Z35" s="21">
        <f t="shared" si="16"/>
        <v>0</v>
      </c>
    </row>
    <row r="36" spans="1:26" x14ac:dyDescent="0.2">
      <c r="A36" s="65" t="s">
        <v>373</v>
      </c>
      <c r="B36" s="115">
        <v>0.5</v>
      </c>
      <c r="C36" s="115">
        <v>0</v>
      </c>
      <c r="D36" s="132" t="b">
        <f>IF('Machinery(GMO)'!C16='Machinery(GMO)'!B69,IF('Machinery(GMO)'!B32='Machinery(GMO)'!G52,'Machinery(GMO)'!D32,0))</f>
        <v>0</v>
      </c>
      <c r="E36" s="174" t="b">
        <f>IF('Machinery(GMO)'!$C$17='Machinery(GMO)'!$B$72,D36,IF('Machinery(GMO)'!$C$16='Machinery(GMO)'!$B$69,IF('Machinery(GMO)'!B32='Machinery(GMO)'!G52,B36,C36)))</f>
        <v>0</v>
      </c>
      <c r="F36" s="175" t="str">
        <f>IF('Machinery(GMO)'!C17='Machinery(GMO)'!B73,'Machinery(GMO)'!B50,IF('Machinery(GMO)'!C16='Machinery(GMO)'!B69,IF('Machinery(GMO)'!B32='Machinery(GMO)'!G52,'Machinery(GMO)'!E32,'Machinery(GMO)'!B50)))</f>
        <v>N</v>
      </c>
      <c r="G36" s="33"/>
      <c r="H36" s="6">
        <v>12.5</v>
      </c>
      <c r="I36" s="6">
        <f>H36+J36+K36</f>
        <v>12.366</v>
      </c>
      <c r="J36" s="6">
        <f>L36*(B$3-B$2)</f>
        <v>-0.13400000000000001</v>
      </c>
      <c r="K36" s="6">
        <f>(B$4*(1-B$7)+B$6*(B$7) - B$14)*O36</f>
        <v>0</v>
      </c>
      <c r="L36" s="11">
        <v>0.53600000000000003</v>
      </c>
      <c r="M36" s="21">
        <f t="shared" si="17"/>
        <v>1.0787</v>
      </c>
      <c r="N36" s="12">
        <v>9.9000000000000005E-2</v>
      </c>
      <c r="O36" s="12">
        <f t="shared" si="18"/>
        <v>0.11384999999999999</v>
      </c>
      <c r="P36" s="21">
        <f t="shared" si="19"/>
        <v>1.7077499999999999</v>
      </c>
      <c r="Q36" s="21">
        <f t="shared" si="11"/>
        <v>9.5795500000000011</v>
      </c>
      <c r="R36" s="21">
        <f t="shared" si="20"/>
        <v>3.1612515000000005</v>
      </c>
      <c r="S36" s="21">
        <f t="shared" si="12"/>
        <v>6.4182985000000006</v>
      </c>
      <c r="T36" s="9"/>
      <c r="U36" s="21">
        <f>IF(U$15="Increase",IF(F36="y",0,IF($E36&gt;0,M36*$E36*(1+U$16),0)),IF(F36="y",0,IF($E36&gt;0,M36*$E36*(1-U$16),0)))</f>
        <v>0</v>
      </c>
      <c r="V36" s="21">
        <f t="shared" si="21"/>
        <v>0</v>
      </c>
      <c r="W36" s="21">
        <f t="shared" si="22"/>
        <v>0</v>
      </c>
      <c r="X36" s="21">
        <f>IF(X$15="Increase",IF(F36="y",0,IF($E36&gt;0,R36*$E36*(1+X$16),0)),IF(F36="y",0,IF($E36&gt;0,R36*$E36*(1-X$16),0)))</f>
        <v>0</v>
      </c>
      <c r="Y36" s="21">
        <f>IF(Y$15="Increase",IF(F36="y",0,IF($E36&gt;0,S36*$E36*(1+Y$16),0)),IF(F36="y",0,IF($E36&gt;0,S36*$E36*(1-Y$16),0)))</f>
        <v>0</v>
      </c>
      <c r="Z36" s="21">
        <f>IF(Z$15="Increase",IF(F36="y",I36*E36*(1+Z$16),0),IF(F36="y",I36*E36*(1-Z$16),0))</f>
        <v>0</v>
      </c>
    </row>
    <row r="37" spans="1:26" x14ac:dyDescent="0.2">
      <c r="A37" s="9" t="s">
        <v>26</v>
      </c>
      <c r="B37" s="115">
        <v>0.5</v>
      </c>
      <c r="C37" s="115">
        <v>0</v>
      </c>
      <c r="D37" s="132" t="b">
        <f>IF('Machinery(GMO)'!C16='Machinery(GMO)'!B69,IF('Machinery(GMO)'!B32='Machinery(GMO)'!G51,'Machinery(GMO)'!D32,0))</f>
        <v>0</v>
      </c>
      <c r="E37" s="174" t="b">
        <f>IF('Machinery(GMO)'!$C$17='Machinery(GMO)'!$B$72,D37,IF('Machinery(GMO)'!$C$16='Machinery(GMO)'!$B$69,IF('Machinery(GMO)'!B32='Machinery(GMO)'!G51,B37,C37)))</f>
        <v>0</v>
      </c>
      <c r="F37" s="175" t="str">
        <f>IF('Machinery(GMO)'!C17='Machinery(GMO)'!B73,'Machinery(GMO)'!B50,IF('Machinery(GMO)'!C16='Machinery(GMO)'!B69,IF('Machinery(GMO)'!B32='Machinery(GMO)'!G51,'Machinery(GMO)'!E32,'Machinery(GMO)'!B50)))</f>
        <v>N</v>
      </c>
      <c r="G37" s="33"/>
      <c r="H37" s="6">
        <v>18</v>
      </c>
      <c r="I37" s="327">
        <f>H37+J37+K37</f>
        <v>17.81175</v>
      </c>
      <c r="J37" s="6">
        <f>L37*(B$3-B$2)</f>
        <v>-0.18825</v>
      </c>
      <c r="K37" s="6">
        <f>(B$4*(1-B$7)+B$6*(B$7) - B$14)*O37</f>
        <v>0</v>
      </c>
      <c r="L37" s="11">
        <v>0.753</v>
      </c>
      <c r="M37" s="21">
        <f t="shared" si="17"/>
        <v>1.5154124999999998</v>
      </c>
      <c r="N37" s="12">
        <v>0.13851851851851851</v>
      </c>
      <c r="O37" s="12">
        <f t="shared" si="18"/>
        <v>0.15929629629629627</v>
      </c>
      <c r="P37" s="21">
        <f t="shared" si="19"/>
        <v>2.389444444444444</v>
      </c>
      <c r="Q37" s="21">
        <f t="shared" si="11"/>
        <v>13.906893055555557</v>
      </c>
      <c r="R37" s="21">
        <f t="shared" si="20"/>
        <v>4.5892747083333338</v>
      </c>
      <c r="S37" s="21">
        <f t="shared" si="12"/>
        <v>9.317618347222222</v>
      </c>
      <c r="T37" s="9"/>
      <c r="U37" s="21">
        <f t="shared" si="13"/>
        <v>0</v>
      </c>
      <c r="V37" s="21">
        <f t="shared" si="21"/>
        <v>0</v>
      </c>
      <c r="W37" s="21">
        <f t="shared" si="22"/>
        <v>0</v>
      </c>
      <c r="X37" s="21">
        <f t="shared" si="14"/>
        <v>0</v>
      </c>
      <c r="Y37" s="21">
        <f t="shared" si="15"/>
        <v>0</v>
      </c>
      <c r="Z37" s="21">
        <f t="shared" si="16"/>
        <v>0</v>
      </c>
    </row>
    <row r="38" spans="1:26" x14ac:dyDescent="0.2">
      <c r="A38" s="9"/>
      <c r="B38" s="9"/>
      <c r="C38" s="9"/>
      <c r="D38" s="108"/>
      <c r="E38" s="176"/>
      <c r="F38" s="175"/>
      <c r="G38" s="33"/>
      <c r="H38" s="6"/>
      <c r="I38" s="6"/>
      <c r="J38" s="6"/>
      <c r="K38" s="6"/>
      <c r="L38" s="9"/>
      <c r="M38" s="9"/>
      <c r="N38" s="9"/>
      <c r="O38" s="9"/>
      <c r="P38" s="9"/>
      <c r="Q38" s="9"/>
      <c r="R38" s="9"/>
      <c r="S38" s="9"/>
      <c r="T38" s="9"/>
      <c r="U38" s="9"/>
      <c r="V38" s="9"/>
      <c r="W38" s="9"/>
      <c r="X38" s="9"/>
      <c r="Y38" s="9"/>
      <c r="Z38" s="4"/>
    </row>
    <row r="39" spans="1:26" x14ac:dyDescent="0.2">
      <c r="A39" s="10" t="s">
        <v>27</v>
      </c>
      <c r="B39" s="10"/>
      <c r="C39" s="10"/>
      <c r="D39" s="173"/>
      <c r="E39" s="176"/>
      <c r="F39" s="175"/>
      <c r="G39" s="33"/>
      <c r="H39" s="6"/>
      <c r="I39" s="6"/>
      <c r="J39" s="6"/>
      <c r="K39" s="6"/>
      <c r="L39" s="9"/>
      <c r="M39" s="9"/>
      <c r="N39" s="9"/>
      <c r="O39" s="9"/>
      <c r="P39" s="9"/>
      <c r="Q39" s="9"/>
      <c r="R39" s="9"/>
      <c r="S39" s="9"/>
      <c r="T39" s="9"/>
      <c r="U39" s="9"/>
      <c r="V39" s="9"/>
      <c r="W39" s="9"/>
      <c r="X39" s="9"/>
      <c r="Y39" s="9"/>
      <c r="Z39" s="4"/>
    </row>
    <row r="40" spans="1:26" x14ac:dyDescent="0.2">
      <c r="A40" s="9" t="s">
        <v>28</v>
      </c>
      <c r="B40" s="115">
        <v>0</v>
      </c>
      <c r="C40" s="115">
        <v>1</v>
      </c>
      <c r="D40" s="132">
        <f>IF('Machinery(GMO)'!C16='Machinery(GMO)'!B69,0,'Machinery(GMO)'!D22)</f>
        <v>1</v>
      </c>
      <c r="E40" s="174">
        <f>IF('Machinery(GMO)'!$C$17='Machinery(GMO)'!$B$72,D40,IF('Machinery(GMO)'!$C$16='Machinery(GMO)'!$B$69,B40,C40))</f>
        <v>1</v>
      </c>
      <c r="F40" s="175" t="str">
        <f>IF('Machinery(GMO)'!C17='Machinery(GMO)'!B73,'Machinery(GMO)'!B50,'Machinery(GMO)'!E22)</f>
        <v>N</v>
      </c>
      <c r="G40" s="33"/>
      <c r="H40" s="6">
        <v>20.5</v>
      </c>
      <c r="I40" s="327">
        <f>H40+J40+K40</f>
        <v>20.3010625</v>
      </c>
      <c r="J40" s="6">
        <f>L40*(B$3-B$2)</f>
        <v>-0.19893749999999999</v>
      </c>
      <c r="K40" s="6">
        <f>(B$4*(1-B$7)+B$6*(B$7) - B$14)*O40</f>
        <v>0</v>
      </c>
      <c r="L40" s="11">
        <v>0.79574999999999996</v>
      </c>
      <c r="M40" s="21">
        <f>L40*B$3*(1+B$13)</f>
        <v>1.6014468749999997</v>
      </c>
      <c r="N40" s="12">
        <v>0.1025925925925926</v>
      </c>
      <c r="O40" s="12">
        <f t="shared" ref="O40:O44" si="23">N40*(1+B$16)</f>
        <v>0.11798148148148148</v>
      </c>
      <c r="P40" s="21">
        <f t="shared" ref="P40:P44" si="24">O40*B$4*(1-B$7)+O40*B$6*(B$7)</f>
        <v>1.7697222222222222</v>
      </c>
      <c r="Q40" s="21">
        <f t="shared" ref="Q40:Q44" si="25">I40-M40-P40</f>
        <v>16.929893402777779</v>
      </c>
      <c r="R40" s="21">
        <f t="shared" ref="R40:R44" si="26">Q40*B$12</f>
        <v>5.5868648229166675</v>
      </c>
      <c r="S40" s="21">
        <f t="shared" ref="S40:S44" si="27">Q40-R40</f>
        <v>11.343028579861112</v>
      </c>
      <c r="T40" s="9"/>
      <c r="U40" s="21">
        <f t="shared" ref="U40:U44" si="28">IF(U$15="Increase",IF(F40="y",0,IF($E40&gt;0,M40*$E40*(1+U$16),0)),IF(F40="y",0,IF($E40&gt;0,M40*$E40*(1-U$16),0)))</f>
        <v>1.6014468749999997</v>
      </c>
      <c r="V40" s="21">
        <f t="shared" ref="V40:V44" si="29">IF(V$15="Increase",IF(F40="y",0,IF($E40&gt;0,(O40*B$4*(1-B$7))*$E40*(1+V$16),0)),IF(F40="y",0,IF($E40&gt;0,(O40*B$4*(1-B$7))*$E40*(1-V$16),0)))</f>
        <v>1.7697222222222222</v>
      </c>
      <c r="W40" s="21">
        <f t="shared" ref="W40:W44" si="30">IF(W$15="Increase",IF(F40="y",0,IF($E40&gt;0,(O40*B$6*(B$7))*$E40*(1+W$16),0)),IF(F40="y",0,IF($E40&gt;0,(O40*B$6*(B$7))*$E40*(1-W$16),0)))</f>
        <v>0</v>
      </c>
      <c r="X40" s="21">
        <f t="shared" ref="X40:X44" si="31">IF(X$15="Increase",IF(F40="y",0,IF($E40&gt;0,R40*$E40*(1+X$16),0)),IF(F40="y",0,IF($E40&gt;0,R40*$E40*(1-X$16),0)))</f>
        <v>5.5868648229166675</v>
      </c>
      <c r="Y40" s="21">
        <f t="shared" ref="Y40:Y44" si="32">IF(Y$15="Increase",IF(F40="y",0,IF($E40&gt;0,S40*$E40*(1+Y$16),0)),IF(F40="y",0,IF($E40&gt;0,S40*$E40*(1-Y$16),0)))</f>
        <v>11.343028579861112</v>
      </c>
      <c r="Z40" s="21">
        <f t="shared" ref="Z40:Z44" si="33">IF(Z$15="Increase",IF(F40="y",I40*E40*(1+Z$16),0),IF(F40="y",I40*E40*(1-Z$16),0))</f>
        <v>0</v>
      </c>
    </row>
    <row r="41" spans="1:26" x14ac:dyDescent="0.2">
      <c r="A41" s="9" t="s">
        <v>24</v>
      </c>
      <c r="B41" s="9"/>
      <c r="C41" s="9"/>
      <c r="D41" s="108"/>
      <c r="E41" s="176"/>
      <c r="F41" s="175"/>
      <c r="G41" s="33"/>
      <c r="H41" s="6"/>
      <c r="I41" s="6">
        <f>IF(G41&gt;0,G41,H41-(L41*B$2*1.05)+M41-O41*12.5+P41)</f>
        <v>0.2253255787037034</v>
      </c>
      <c r="J41" s="6"/>
      <c r="K41" s="6"/>
      <c r="L41" s="11">
        <v>0.79574999999999996</v>
      </c>
      <c r="M41" s="21">
        <f t="shared" ref="M41:M44" si="34">L41*B$3*(1+B$13)</f>
        <v>1.6014468749999997</v>
      </c>
      <c r="N41" s="12">
        <v>0.1025925925925926</v>
      </c>
      <c r="O41" s="12">
        <f t="shared" si="23"/>
        <v>0.11798148148148148</v>
      </c>
      <c r="P41" s="21">
        <f t="shared" si="24"/>
        <v>1.7697222222222222</v>
      </c>
      <c r="Q41" s="21">
        <f t="shared" si="25"/>
        <v>-3.1458435185185185</v>
      </c>
      <c r="R41" s="21">
        <f t="shared" si="26"/>
        <v>-1.0381283611111112</v>
      </c>
      <c r="S41" s="21">
        <f t="shared" si="27"/>
        <v>-2.1077151574074073</v>
      </c>
      <c r="T41" s="9"/>
      <c r="U41" s="21">
        <f t="shared" si="28"/>
        <v>0</v>
      </c>
      <c r="V41" s="21">
        <f t="shared" si="29"/>
        <v>0</v>
      </c>
      <c r="W41" s="21">
        <f t="shared" si="30"/>
        <v>0</v>
      </c>
      <c r="X41" s="21">
        <f t="shared" si="31"/>
        <v>0</v>
      </c>
      <c r="Y41" s="21">
        <f t="shared" si="32"/>
        <v>0</v>
      </c>
      <c r="Z41" s="21">
        <f t="shared" si="33"/>
        <v>0</v>
      </c>
    </row>
    <row r="42" spans="1:26" x14ac:dyDescent="0.2">
      <c r="A42" s="9" t="s">
        <v>25</v>
      </c>
      <c r="B42" s="9"/>
      <c r="C42" s="9"/>
      <c r="D42" s="108"/>
      <c r="E42" s="176"/>
      <c r="F42" s="175"/>
      <c r="G42" s="33"/>
      <c r="H42" s="6"/>
      <c r="I42" s="6">
        <f>IF(G42&gt;0,G42,H42-(L42*B$2*1.05)+M42-O42*12.5+P42)</f>
        <v>0.2253255787037034</v>
      </c>
      <c r="J42" s="6"/>
      <c r="K42" s="6"/>
      <c r="L42" s="11">
        <v>0.79574999999999996</v>
      </c>
      <c r="M42" s="21">
        <f t="shared" si="34"/>
        <v>1.6014468749999997</v>
      </c>
      <c r="N42" s="12">
        <v>0.1025925925925926</v>
      </c>
      <c r="O42" s="12">
        <f t="shared" si="23"/>
        <v>0.11798148148148148</v>
      </c>
      <c r="P42" s="21">
        <f t="shared" si="24"/>
        <v>1.7697222222222222</v>
      </c>
      <c r="Q42" s="21">
        <f t="shared" si="25"/>
        <v>-3.1458435185185185</v>
      </c>
      <c r="R42" s="21">
        <f t="shared" si="26"/>
        <v>-1.0381283611111112</v>
      </c>
      <c r="S42" s="21">
        <f t="shared" si="27"/>
        <v>-2.1077151574074073</v>
      </c>
      <c r="T42" s="9"/>
      <c r="U42" s="21">
        <f t="shared" si="28"/>
        <v>0</v>
      </c>
      <c r="V42" s="21">
        <f t="shared" si="29"/>
        <v>0</v>
      </c>
      <c r="W42" s="21">
        <f t="shared" si="30"/>
        <v>0</v>
      </c>
      <c r="X42" s="21">
        <f t="shared" si="31"/>
        <v>0</v>
      </c>
      <c r="Y42" s="21">
        <f t="shared" si="32"/>
        <v>0</v>
      </c>
      <c r="Z42" s="21">
        <f t="shared" si="33"/>
        <v>0</v>
      </c>
    </row>
    <row r="43" spans="1:26" x14ac:dyDescent="0.2">
      <c r="A43" s="65" t="s">
        <v>373</v>
      </c>
      <c r="B43" s="115">
        <v>0</v>
      </c>
      <c r="C43" s="115">
        <v>0.5</v>
      </c>
      <c r="D43" s="132">
        <f>IF('Machinery(GMO)'!C16='Machinery(GMO)'!B68,IF('Machinery(GMO)'!B32='Machinery(GMO)'!G52,'Machinery(GMO)'!D32,0))</f>
        <v>0</v>
      </c>
      <c r="E43" s="174">
        <f>IF('Machinery(GMO)'!$C$17='Machinery(GMO)'!$B$72,D43,IF('Machinery(GMO)'!$C$16='Machinery(GMO)'!$B$68,IF('Machinery(GMO)'!B32='Machinery(GMO)'!G52,C43,B43)))</f>
        <v>0</v>
      </c>
      <c r="F43" s="175" t="str">
        <f>IF('Machinery(GMO)'!C17='Machinery(GMO)'!B73,'Machinery(GMO)'!B50,IF('Machinery(GMO)'!C16='Machinery(GMO)'!B68,IF('Machinery(GMO)'!B32='Machinery(GMO)'!G52,'Machinery(GMO)'!E32,'Machinery(GMO)'!B50)))</f>
        <v>N</v>
      </c>
      <c r="G43" s="33"/>
      <c r="H43" s="6">
        <v>12.5</v>
      </c>
      <c r="I43" s="6">
        <f t="shared" ref="I43:I44" si="35">H43+J43+K43</f>
        <v>12.366</v>
      </c>
      <c r="J43" s="6">
        <f t="shared" ref="J43:J44" si="36">L43*(B$3-B$2)</f>
        <v>-0.13400000000000001</v>
      </c>
      <c r="K43" s="6">
        <f t="shared" ref="K43:K44" si="37">(B$4*(1-B$7)+B$6*(B$7) - B$14)*O43</f>
        <v>0</v>
      </c>
      <c r="L43" s="11">
        <v>0.53600000000000003</v>
      </c>
      <c r="M43" s="21">
        <f t="shared" si="34"/>
        <v>1.0787</v>
      </c>
      <c r="N43" s="12">
        <v>9.9000000000000005E-2</v>
      </c>
      <c r="O43" s="12">
        <f t="shared" si="23"/>
        <v>0.11384999999999999</v>
      </c>
      <c r="P43" s="21">
        <f t="shared" si="24"/>
        <v>1.7077499999999999</v>
      </c>
      <c r="Q43" s="21">
        <f t="shared" si="25"/>
        <v>9.5795500000000011</v>
      </c>
      <c r="R43" s="21">
        <f t="shared" si="26"/>
        <v>3.1612515000000005</v>
      </c>
      <c r="S43" s="21">
        <f t="shared" si="27"/>
        <v>6.4182985000000006</v>
      </c>
      <c r="T43" s="9"/>
      <c r="U43" s="21">
        <f t="shared" si="28"/>
        <v>0</v>
      </c>
      <c r="V43" s="21">
        <f t="shared" si="29"/>
        <v>0</v>
      </c>
      <c r="W43" s="21">
        <f t="shared" si="30"/>
        <v>0</v>
      </c>
      <c r="X43" s="21">
        <f t="shared" si="31"/>
        <v>0</v>
      </c>
      <c r="Y43" s="21">
        <f t="shared" si="32"/>
        <v>0</v>
      </c>
      <c r="Z43" s="21">
        <f t="shared" si="33"/>
        <v>0</v>
      </c>
    </row>
    <row r="44" spans="1:26" x14ac:dyDescent="0.2">
      <c r="A44" s="9" t="s">
        <v>26</v>
      </c>
      <c r="B44" s="115">
        <v>0</v>
      </c>
      <c r="C44" s="115">
        <v>0.5</v>
      </c>
      <c r="D44" s="132">
        <f>IF('Machinery(GMO)'!C16='Machinery(GMO)'!B68,IF('Machinery(GMO)'!B32='Machinery(GMO)'!G51,'Machinery(GMO)'!D32,0))</f>
        <v>0</v>
      </c>
      <c r="E44" s="174">
        <f>IF('Machinery(GMO)'!$C$17='Machinery(GMO)'!$B$72,D44,IF('Machinery(GMO)'!$C$16='Machinery(GMO)'!$B$68,IF('Machinery(GMO)'!B32='Machinery(GMO)'!G51,C44,B44)))</f>
        <v>0</v>
      </c>
      <c r="F44" s="175" t="str">
        <f>IF('Machinery(GMO)'!C17='Machinery(GMO)'!B73,'Machinery(GMO)'!B50,IF('Machinery(GMO)'!C16='Machinery(GMO)'!B68,IF('Machinery(GMO)'!B32='Machinery(GMO)'!G51,'Machinery(GMO)'!E32,'Machinery(GMO)'!B50)))</f>
        <v>N</v>
      </c>
      <c r="G44" s="33"/>
      <c r="H44" s="6">
        <v>19</v>
      </c>
      <c r="I44" s="327">
        <f t="shared" si="35"/>
        <v>18.787312499999999</v>
      </c>
      <c r="J44" s="6">
        <f t="shared" si="36"/>
        <v>-0.2126875</v>
      </c>
      <c r="K44" s="6">
        <f t="shared" si="37"/>
        <v>0</v>
      </c>
      <c r="L44" s="11">
        <v>0.85075000000000001</v>
      </c>
      <c r="M44" s="21">
        <f t="shared" si="34"/>
        <v>1.712134375</v>
      </c>
      <c r="N44" s="12">
        <v>0.12481481481481482</v>
      </c>
      <c r="O44" s="12">
        <f t="shared" si="23"/>
        <v>0.14353703703703705</v>
      </c>
      <c r="P44" s="21">
        <f t="shared" si="24"/>
        <v>2.1530555555555555</v>
      </c>
      <c r="Q44" s="21">
        <f t="shared" si="25"/>
        <v>14.922122569444442</v>
      </c>
      <c r="R44" s="21">
        <f t="shared" si="26"/>
        <v>4.9243004479166661</v>
      </c>
      <c r="S44" s="21">
        <f t="shared" si="27"/>
        <v>9.9978221215277756</v>
      </c>
      <c r="T44" s="9"/>
      <c r="U44" s="21">
        <f t="shared" si="28"/>
        <v>0</v>
      </c>
      <c r="V44" s="21">
        <f t="shared" si="29"/>
        <v>0</v>
      </c>
      <c r="W44" s="21">
        <f t="shared" si="30"/>
        <v>0</v>
      </c>
      <c r="X44" s="21">
        <f t="shared" si="31"/>
        <v>0</v>
      </c>
      <c r="Y44" s="21">
        <f t="shared" si="32"/>
        <v>0</v>
      </c>
      <c r="Z44" s="21">
        <f t="shared" si="33"/>
        <v>0</v>
      </c>
    </row>
    <row r="45" spans="1:26" x14ac:dyDescent="0.2">
      <c r="A45" s="9"/>
      <c r="B45" s="9"/>
      <c r="C45" s="9"/>
      <c r="D45" s="108"/>
      <c r="E45" s="176"/>
      <c r="F45" s="175"/>
      <c r="G45" s="33"/>
      <c r="H45" s="6"/>
      <c r="I45" s="6"/>
      <c r="J45" s="6"/>
      <c r="K45" s="6"/>
      <c r="L45" s="9"/>
      <c r="M45" s="9"/>
      <c r="N45" s="9"/>
      <c r="O45" s="9"/>
      <c r="P45" s="9"/>
      <c r="Q45" s="9"/>
      <c r="R45" s="9"/>
      <c r="S45" s="9"/>
      <c r="T45" s="9"/>
      <c r="U45" s="9"/>
      <c r="V45" s="9"/>
      <c r="W45" s="9"/>
      <c r="X45" s="9"/>
      <c r="Y45" s="9"/>
      <c r="Z45" s="4"/>
    </row>
    <row r="46" spans="1:26" x14ac:dyDescent="0.2">
      <c r="A46" s="10" t="s">
        <v>29</v>
      </c>
      <c r="B46" s="10"/>
      <c r="C46" s="10"/>
      <c r="D46" s="117"/>
      <c r="E46" s="176"/>
      <c r="F46" s="175"/>
      <c r="G46" s="33"/>
      <c r="H46" s="6"/>
      <c r="I46" s="6"/>
      <c r="J46" s="6"/>
      <c r="K46" s="6"/>
      <c r="L46" s="9"/>
      <c r="M46" s="9"/>
      <c r="N46" s="9"/>
      <c r="O46" s="9"/>
      <c r="P46" s="9"/>
      <c r="Q46" s="9"/>
      <c r="R46" s="9"/>
      <c r="S46" s="9"/>
      <c r="T46" s="9"/>
      <c r="U46" s="9"/>
      <c r="V46" s="9"/>
      <c r="W46" s="9"/>
      <c r="X46" s="9"/>
      <c r="Y46" s="9"/>
      <c r="Z46" s="4"/>
    </row>
    <row r="47" spans="1:26" x14ac:dyDescent="0.2">
      <c r="A47" s="9" t="s">
        <v>30</v>
      </c>
      <c r="B47" s="115">
        <v>1</v>
      </c>
      <c r="C47" s="115">
        <v>1</v>
      </c>
      <c r="D47" s="132">
        <f>'Machinery(GMO)'!D26</f>
        <v>1</v>
      </c>
      <c r="E47" s="174">
        <f>IF('Machinery(GMO)'!$C$17='Machinery(GMO)'!$B$72,D47,IF('Machinery(GMO)'!$C$16='Machinery(GMO)'!$B$69,B47,C47))</f>
        <v>1</v>
      </c>
      <c r="F47" s="175" t="str">
        <f>IF('Machinery(GMO)'!C17='Machinery(GMO)'!B73,'Machinery(GMO)'!B50,'Machinery(GMO)'!E26)</f>
        <v>N</v>
      </c>
      <c r="G47" s="33"/>
      <c r="H47" s="6">
        <v>32.5</v>
      </c>
      <c r="I47" s="327">
        <f>H47+J47+K47</f>
        <v>31.937562499999999</v>
      </c>
      <c r="J47" s="6">
        <f>L47*(B$3-B$2)</f>
        <v>-0.56243749999999992</v>
      </c>
      <c r="K47" s="6">
        <f>(B$4*(1-B$7)+B$6*(B$7) - B$14)*O47</f>
        <v>0</v>
      </c>
      <c r="L47" s="11">
        <v>2.2497499999999997</v>
      </c>
      <c r="M47" s="21">
        <f t="shared" ref="M47:M50" si="38">L47*B$3*(1+B$13)</f>
        <v>4.5276218749999995</v>
      </c>
      <c r="N47" s="12">
        <v>0.18962962962962962</v>
      </c>
      <c r="O47" s="12">
        <f t="shared" ref="O47" si="39">N47*(1+B$16)</f>
        <v>0.21807407407407406</v>
      </c>
      <c r="P47" s="21">
        <f>O47*B$4*(1-B$7)+O47*B$6*(B$7)</f>
        <v>3.2711111111111109</v>
      </c>
      <c r="Q47" s="21">
        <f t="shared" ref="Q47:Q50" si="40">I47-M47-P47</f>
        <v>24.138829513888886</v>
      </c>
      <c r="R47" s="21">
        <f>Q47*B$12</f>
        <v>7.9658137395833331</v>
      </c>
      <c r="S47" s="21">
        <f t="shared" ref="S47:S50" si="41">Q47-R47</f>
        <v>16.173015774305554</v>
      </c>
      <c r="T47" s="9"/>
      <c r="U47" s="21">
        <f t="shared" ref="U47:U50" si="42">IF(U$15="Increase",IF(F47="y",0,IF($E47&gt;0,M47*$E47*(1+U$16),0)),IF(F47="y",0,IF($E47&gt;0,M47*$E47*(1-U$16),0)))</f>
        <v>4.5276218749999995</v>
      </c>
      <c r="V47" s="21">
        <f>IF(V$15="Increase",IF(F47="y",0,IF($E47&gt;0,(O47*B$4*(1-B$7))*$E47*(1+V$16),0)),IF(F47="y",0,IF($E47&gt;0,(O47*B$4*(1-B$7))*$E47*(1-V$16),0)))</f>
        <v>3.2711111111111109</v>
      </c>
      <c r="W47" s="21">
        <f>IF(W$15="Increase",IF(F47="y",0,IF($E47&gt;0,(O47*B$6*(B$7))*$E47*(1+W$16),0)),IF(F47="y",0,IF($E47&gt;0,(O47*B$6*(B$7))*$E47*(1-W$16),0)))</f>
        <v>0</v>
      </c>
      <c r="X47" s="21">
        <f t="shared" ref="X47:X50" si="43">IF(X$15="Increase",IF(F47="y",0,IF($E47&gt;0,R47*$E47*(1+X$16),0)),IF(F47="y",0,IF($E47&gt;0,R47*$E47*(1-X$16),0)))</f>
        <v>7.9658137395833331</v>
      </c>
      <c r="Y47" s="21">
        <f t="shared" ref="Y47:Y50" si="44">IF(Y$15="Increase",IF(F47="y",0,IF($E47&gt;0,S47*$E47*(1+Y$16),0)),IF(F47="y",0,IF($E47&gt;0,S47*$E47*(1-Y$16),0)))</f>
        <v>16.173015774305554</v>
      </c>
      <c r="Z47" s="21">
        <f t="shared" ref="Z47:Z50" si="45">IF(Z$15="Increase",IF(F47="y",I47*E47*(1+Z$16),0),IF(F47="y",I47*E47*(1-Z$16),0))</f>
        <v>0</v>
      </c>
    </row>
    <row r="48" spans="1:26" x14ac:dyDescent="0.2">
      <c r="A48" s="9" t="s">
        <v>31</v>
      </c>
      <c r="B48" s="9"/>
      <c r="C48" s="9"/>
      <c r="D48" s="108"/>
      <c r="E48" s="29"/>
      <c r="F48" s="30"/>
      <c r="G48" s="33"/>
      <c r="H48" s="6"/>
      <c r="I48" s="6">
        <f>IF(G48&gt;0,G48,H48-(L48*B$2*1.05)+M48-O48*12.5+P48)</f>
        <v>0.28578541666666668</v>
      </c>
      <c r="J48" s="6"/>
      <c r="K48" s="6"/>
      <c r="L48" s="11">
        <v>1.8815</v>
      </c>
      <c r="M48" s="21">
        <f t="shared" si="38"/>
        <v>3.7865187499999999</v>
      </c>
      <c r="N48" s="12">
        <v>0.15666666666666668</v>
      </c>
      <c r="O48" s="12">
        <f t="shared" ref="O48:O50" si="46">N48*(1+B$16)</f>
        <v>0.18016666666666667</v>
      </c>
      <c r="P48" s="21">
        <f>O48*B$4*(1-B$7)+O48*B$6*(B$7)</f>
        <v>2.7025000000000001</v>
      </c>
      <c r="Q48" s="21">
        <f t="shared" si="40"/>
        <v>-6.2032333333333334</v>
      </c>
      <c r="R48" s="21">
        <f>Q48*B$12</f>
        <v>-2.0470670000000002</v>
      </c>
      <c r="S48" s="21">
        <f t="shared" si="41"/>
        <v>-4.1561663333333332</v>
      </c>
      <c r="T48" s="9"/>
      <c r="U48" s="21">
        <f t="shared" si="42"/>
        <v>0</v>
      </c>
      <c r="V48" s="21">
        <f>IF(V$15="Increase",IF(F48="y",0,IF($E48&gt;0,(O48*B$4*(1-B$7))*$E48*(1+V$16),0)),IF(F48="y",0,IF($E48&gt;0,(O48*B$4*(1-B$7))*$E48*(1-V$16),0)))</f>
        <v>0</v>
      </c>
      <c r="W48" s="21">
        <f>IF(W$15="Increase",IF(F48="y",0,IF($E48&gt;0,(O48*B$6*(B$7))*$E48*(1+W$16),0)),IF(F48="y",0,IF($E48&gt;0,(O48*B$6*(B$7))*$E48*(1-W$16),0)))</f>
        <v>0</v>
      </c>
      <c r="X48" s="21">
        <f t="shared" si="43"/>
        <v>0</v>
      </c>
      <c r="Y48" s="21">
        <f t="shared" si="44"/>
        <v>0</v>
      </c>
      <c r="Z48" s="21">
        <f t="shared" si="45"/>
        <v>0</v>
      </c>
    </row>
    <row r="49" spans="1:28" x14ac:dyDescent="0.2">
      <c r="A49" s="9" t="s">
        <v>32</v>
      </c>
      <c r="B49" s="9"/>
      <c r="C49" s="9"/>
      <c r="D49" s="108"/>
      <c r="E49" s="29"/>
      <c r="F49" s="30"/>
      <c r="G49" s="33"/>
      <c r="H49" s="6"/>
      <c r="I49" s="6">
        <f>IF(G49&gt;0,G49,H49-(L49*B$2*1.05)+M49-O49*12.5+P49)</f>
        <v>0.22673877314814828</v>
      </c>
      <c r="J49" s="6"/>
      <c r="K49" s="6"/>
      <c r="L49" s="11">
        <v>1.4732500000000002</v>
      </c>
      <c r="M49" s="21">
        <f t="shared" si="38"/>
        <v>2.9649156250000002</v>
      </c>
      <c r="N49" s="12">
        <v>0.1237037037037037</v>
      </c>
      <c r="O49" s="12">
        <f t="shared" si="46"/>
        <v>0.14225925925925925</v>
      </c>
      <c r="P49" s="21">
        <f>O49*B$4*(1-B$7)+O49*B$6*(B$7)</f>
        <v>2.1338888888888889</v>
      </c>
      <c r="Q49" s="21">
        <f t="shared" si="40"/>
        <v>-4.8720657407407408</v>
      </c>
      <c r="R49" s="21">
        <f>Q49*B$12</f>
        <v>-1.6077816944444445</v>
      </c>
      <c r="S49" s="21">
        <f t="shared" si="41"/>
        <v>-3.2642840462962965</v>
      </c>
      <c r="T49" s="9"/>
      <c r="U49" s="21">
        <f t="shared" si="42"/>
        <v>0</v>
      </c>
      <c r="V49" s="21">
        <f>IF(V$15="Increase",IF(F49="y",0,IF($E49&gt;0,(O49*B$4*(1-B$7))*$E49*(1+V$16),0)),IF(F49="y",0,IF($E49&gt;0,(O49*B$4*(1-B$7))*$E49*(1-V$16),0)))</f>
        <v>0</v>
      </c>
      <c r="W49" s="21">
        <f>IF(W$15="Increase",IF(F49="y",0,IF($E49&gt;0,(O49*B$6*(B$7))*$E49*(1+W$16),0)),IF(F49="y",0,IF($E49&gt;0,(O49*B$6*(B$7))*$E49*(1-W$16),0)))</f>
        <v>0</v>
      </c>
      <c r="X49" s="21">
        <f t="shared" si="43"/>
        <v>0</v>
      </c>
      <c r="Y49" s="21">
        <f t="shared" si="44"/>
        <v>0</v>
      </c>
      <c r="Z49" s="21">
        <f t="shared" si="45"/>
        <v>0</v>
      </c>
    </row>
    <row r="50" spans="1:28" x14ac:dyDescent="0.2">
      <c r="A50" s="9" t="s">
        <v>47</v>
      </c>
      <c r="B50" s="115">
        <v>1</v>
      </c>
      <c r="C50" s="115">
        <v>1</v>
      </c>
      <c r="D50" s="132">
        <f>'Machinery(GMO)'!D27</f>
        <v>1</v>
      </c>
      <c r="E50" s="78">
        <f>IF('Machinery(GMO)'!$C$17='Machinery(GMO)'!$B$72,D50,IF('Machinery(GMO)'!$C$16='Machinery(GMO)'!$B$69,B50,C50))</f>
        <v>1</v>
      </c>
      <c r="F50" s="30" t="str">
        <f>IF('Machinery(GMO)'!C17='Machinery(GMO)'!B73,'Machinery(GMO)'!B50,'Machinery(GMO)'!E27)</f>
        <v>N</v>
      </c>
      <c r="G50" s="33"/>
      <c r="H50" s="6">
        <v>5.5</v>
      </c>
      <c r="I50" s="327">
        <f>H50+J50+K50</f>
        <v>5.46</v>
      </c>
      <c r="J50" s="6">
        <f>L50*(B$3-B$2)</f>
        <v>-0.04</v>
      </c>
      <c r="K50" s="6">
        <f>(B$4*(1-B$7)+B$6*(B$7) - B$14)*O50</f>
        <v>0</v>
      </c>
      <c r="L50" s="11">
        <v>0.16</v>
      </c>
      <c r="M50" s="21">
        <f t="shared" si="38"/>
        <v>0.32200000000000001</v>
      </c>
      <c r="N50" s="12">
        <v>0.1</v>
      </c>
      <c r="O50" s="12">
        <f t="shared" si="46"/>
        <v>0.11499999999999999</v>
      </c>
      <c r="P50" s="21">
        <f>O50*B$4*(1-B$7)+O50*B$6*(B$7)</f>
        <v>1.7249999999999999</v>
      </c>
      <c r="Q50" s="21">
        <f t="shared" si="40"/>
        <v>3.4130000000000003</v>
      </c>
      <c r="R50" s="21">
        <f>Q50*B$12</f>
        <v>1.1262900000000002</v>
      </c>
      <c r="S50" s="21">
        <f t="shared" si="41"/>
        <v>2.2867100000000002</v>
      </c>
      <c r="T50" s="9"/>
      <c r="U50" s="21">
        <f t="shared" si="42"/>
        <v>0.32200000000000001</v>
      </c>
      <c r="V50" s="21">
        <f>IF(V$15="Increase",IF(F50="y",0,IF($E50&gt;0,(O50*B$4*(1-B$7))*$E50*(1+V$16),0)),IF(F50="y",0,IF($E50&gt;0,(O50*B$4*(1-B$7))*$E50*(1-V$16),0)))</f>
        <v>1.7249999999999999</v>
      </c>
      <c r="W50" s="21">
        <f>IF(W$15="Increase",IF(F50="y",0,IF($E50&gt;0,(O50*B$6*(B$7))*$E50*(1+W$16),0)),IF(F50="y",0,IF($E50&gt;0,(O50*B$6*(B$7))*$E50*(1-W$16),0)))</f>
        <v>0</v>
      </c>
      <c r="X50" s="21">
        <f t="shared" si="43"/>
        <v>1.1262900000000002</v>
      </c>
      <c r="Y50" s="21">
        <f t="shared" si="44"/>
        <v>2.2867100000000002</v>
      </c>
      <c r="Z50" s="21">
        <f t="shared" si="45"/>
        <v>0</v>
      </c>
      <c r="AA50" s="2"/>
    </row>
    <row r="51" spans="1:28" x14ac:dyDescent="0.2">
      <c r="A51" s="680" t="s">
        <v>102</v>
      </c>
      <c r="B51" s="681"/>
      <c r="C51" s="681"/>
      <c r="D51" s="681"/>
      <c r="E51" s="682"/>
      <c r="F51" s="217" t="str">
        <f>IF('Machinery(GMO)'!C17='Machinery(GMO)'!B73,'Machinery(GMO)'!B50,'Machinery(GMO)'!E29)</f>
        <v>N</v>
      </c>
      <c r="G51" s="218"/>
      <c r="H51" s="330"/>
      <c r="I51" s="330">
        <f>IF(G51&gt;0,G51,Trucking!H25*GMO!E6)</f>
        <v>26.216404684238974</v>
      </c>
      <c r="J51" s="330"/>
      <c r="K51" s="330"/>
      <c r="L51" s="331">
        <f>((GMO!E6*Trucking!B25*2)*(1+Trucking!C4))/(Trucking!C3*Trucking!C2)</f>
        <v>1.5657894736842106</v>
      </c>
      <c r="M51" s="332">
        <f>L51*Trucking!C9</f>
        <v>3.2411842105263156</v>
      </c>
      <c r="N51" s="333"/>
      <c r="O51" s="333">
        <f>GMO!E6*((((B8*2)/Trucking!C7) + (Trucking!C5/60)))/Trucking!C2</f>
        <v>0.37777777777777782</v>
      </c>
      <c r="P51" s="332">
        <f>O51*B$4*(1-B$7)+O51*B$6*(B$7)</f>
        <v>5.666666666666667</v>
      </c>
      <c r="Q51" s="332">
        <f>I51-M51-P51</f>
        <v>17.308553807045989</v>
      </c>
      <c r="R51" s="332">
        <f>Q51*B$12</f>
        <v>5.7118227563251764</v>
      </c>
      <c r="S51" s="332">
        <f>Q51-R51</f>
        <v>11.596731050720813</v>
      </c>
      <c r="T51" s="334"/>
      <c r="U51" s="332">
        <f>IF(GMO!C87=GMO!C85,0,IF(U$15="Increase",IF(F51="y",0,IF($B8&gt;0,M51*(1+U$16),0)),IF(F51="y",0,IF($B8&gt;0,M51*(1-U$16),0))))</f>
        <v>3.2411842105263156</v>
      </c>
      <c r="V51" s="332">
        <f>IF(GMO!C87=GMO!C85,0,IF(V$15="Increase",IF(F51="y",0,IF($B8&gt;0,(O51*B$4*(1-B$7)*(1+V$16)),0)),IF(F51="y",0,IF($B8&gt;0,(O51*B$4*(1-B$7)*(1-V$16)),0))))</f>
        <v>5.666666666666667</v>
      </c>
      <c r="W51" s="332">
        <f>IF(GMO!C87=GMO!C85,0,IF(W$15="Increase",IF(F51="y",0,IF($B8&gt;0,(O51*B$6*(B$7)*(1+W$16)),0)),IF(F51="y",0,IF($B8&gt;0,(O51*B$6*(B$7)*(1-W$16)),0))))</f>
        <v>0</v>
      </c>
      <c r="X51" s="332">
        <f>IF(GMO!C87=GMO!C85,0,IF(X$15="Increase",IF(F51="y",0,IF($B8&gt;0,R51*(1+X$16),0)),IF(F51="y",0,IF($B8&gt;0,R51*(1-X$16),0))))</f>
        <v>5.7118227563251764</v>
      </c>
      <c r="Y51" s="332">
        <f>IF(GMO!C87=GMO!C85,0,IF(Y$15="Increase",IF(F51="y",0,IF($B8&gt;0,S51*(1+Y$16),0)),IF(F51="y",0,IF($B8&gt;0,S51*(1-Y$16),0))))</f>
        <v>11.596731050720813</v>
      </c>
      <c r="Z51" s="332">
        <f>IF(GMO!C87=GMO!C85,0,IF(Z$15="Increase",IF(F51="y",I51*(1+Z$16),0),IF(F51="y",I51*(1-Z$16),0)))</f>
        <v>0</v>
      </c>
      <c r="AA51" s="335">
        <f>SUM(U51:Z51)</f>
        <v>26.216404684238974</v>
      </c>
      <c r="AB51" s="16" t="s">
        <v>286</v>
      </c>
    </row>
    <row r="52" spans="1:28" x14ac:dyDescent="0.2">
      <c r="A52" s="9"/>
      <c r="B52" s="9"/>
      <c r="C52" s="9"/>
      <c r="D52" s="9"/>
      <c r="E52" s="29"/>
      <c r="F52" s="30"/>
      <c r="G52" s="33"/>
      <c r="H52" s="6"/>
      <c r="I52" s="6"/>
      <c r="J52" s="6"/>
      <c r="K52" s="6"/>
      <c r="L52" s="9"/>
      <c r="M52" s="9"/>
      <c r="N52" s="9"/>
      <c r="O52" s="9"/>
      <c r="P52" s="9"/>
      <c r="Q52" s="9"/>
      <c r="R52" s="9"/>
      <c r="S52" s="9"/>
      <c r="T52" s="9"/>
      <c r="U52" s="9"/>
      <c r="V52" s="9"/>
      <c r="W52" s="9"/>
      <c r="X52" s="9"/>
      <c r="Y52" s="9"/>
      <c r="Z52" s="4"/>
      <c r="AA52" s="2">
        <f>AA51/GMO!E6</f>
        <v>0.15421414520140572</v>
      </c>
      <c r="AB52" s="16" t="s">
        <v>293</v>
      </c>
    </row>
    <row r="53" spans="1:28" x14ac:dyDescent="0.2">
      <c r="A53" s="10" t="s">
        <v>33</v>
      </c>
      <c r="B53" s="10"/>
      <c r="C53" s="10"/>
      <c r="D53" s="10"/>
      <c r="E53" s="29"/>
      <c r="F53" s="30"/>
      <c r="G53" s="33"/>
      <c r="H53" s="6"/>
      <c r="I53" s="6"/>
      <c r="J53" s="6"/>
      <c r="K53" s="6"/>
      <c r="L53" s="9"/>
      <c r="M53" s="9"/>
      <c r="N53" s="9"/>
      <c r="O53" s="9"/>
      <c r="P53" s="9"/>
      <c r="Q53" s="9"/>
      <c r="R53" s="9"/>
      <c r="S53" s="9"/>
      <c r="T53" s="9"/>
      <c r="U53" s="9"/>
      <c r="V53" s="9"/>
      <c r="W53" s="9"/>
      <c r="X53" s="9"/>
      <c r="Y53" s="9"/>
      <c r="Z53" s="4"/>
    </row>
    <row r="54" spans="1:28" x14ac:dyDescent="0.2">
      <c r="A54" s="9"/>
      <c r="B54" s="9"/>
      <c r="C54" s="9"/>
      <c r="D54" s="108"/>
      <c r="E54" s="29"/>
      <c r="F54" s="30"/>
      <c r="G54" s="33"/>
      <c r="H54" s="6"/>
      <c r="I54" s="6"/>
      <c r="J54" s="6"/>
      <c r="K54" s="6"/>
      <c r="L54" s="9"/>
      <c r="M54" s="9"/>
      <c r="N54" s="9"/>
      <c r="O54" s="9"/>
      <c r="P54" s="9"/>
      <c r="Q54" s="9"/>
      <c r="R54" s="9"/>
      <c r="S54" s="9"/>
      <c r="T54" s="9"/>
      <c r="U54" s="9"/>
      <c r="V54" s="9"/>
      <c r="W54" s="9"/>
      <c r="X54" s="9"/>
      <c r="Y54" s="9"/>
      <c r="Z54" s="4"/>
    </row>
    <row r="55" spans="1:28" x14ac:dyDescent="0.2">
      <c r="A55" s="10" t="s">
        <v>35</v>
      </c>
      <c r="B55" s="10"/>
      <c r="C55" s="10"/>
      <c r="D55" s="117"/>
      <c r="E55" s="29"/>
      <c r="F55" s="30"/>
      <c r="G55" s="33"/>
      <c r="H55" s="6"/>
      <c r="I55" s="6"/>
      <c r="J55" s="6"/>
      <c r="K55" s="6"/>
      <c r="L55" s="9"/>
      <c r="M55" s="9"/>
      <c r="N55" s="9"/>
      <c r="O55" s="9"/>
      <c r="P55" s="9"/>
      <c r="Q55" s="9"/>
      <c r="R55" s="9"/>
      <c r="S55" s="9"/>
      <c r="T55" s="9"/>
      <c r="U55" s="9"/>
      <c r="V55" s="9"/>
      <c r="W55" s="9"/>
      <c r="X55" s="9"/>
      <c r="Y55" s="9"/>
      <c r="Z55" s="4"/>
    </row>
    <row r="56" spans="1:28" x14ac:dyDescent="0.2">
      <c r="A56" s="9" t="s">
        <v>36</v>
      </c>
      <c r="B56" s="115">
        <v>2</v>
      </c>
      <c r="C56" s="115">
        <v>2</v>
      </c>
      <c r="D56" s="132">
        <f>'Machinery(GMO)'!D24</f>
        <v>2</v>
      </c>
      <c r="E56" s="78">
        <f>IF('Machinery(GMO)'!$C$17='Machinery(GMO)'!$B$72,D56,IF('Machinery(GMO)'!$C$16='Machinery(GMO)'!$B$69,B56,C56))</f>
        <v>2</v>
      </c>
      <c r="F56" s="30" t="str">
        <f>IF('Machinery(GMO)'!C17='Machinery(GMO)'!B73,'Machinery(GMO)'!B50,'Machinery(GMO)'!E24)</f>
        <v>N</v>
      </c>
      <c r="G56" s="33"/>
      <c r="H56" s="6">
        <v>6.5</v>
      </c>
      <c r="I56" s="327">
        <f>H56+J56+K56</f>
        <v>6.4187904020919069</v>
      </c>
      <c r="J56" s="6">
        <f>L56*(B$3-B$2)</f>
        <v>-8.1209597908093276E-2</v>
      </c>
      <c r="K56" s="6">
        <f>(B$4*(1-B$7)+B$6*(B$7) - B$14)*O56</f>
        <v>0</v>
      </c>
      <c r="L56" s="11">
        <v>0.3248383916323731</v>
      </c>
      <c r="M56" s="21">
        <f t="shared" ref="M56:M60" si="47">L56*B$3*(1+B$13)</f>
        <v>0.65373726316015091</v>
      </c>
      <c r="N56" s="12">
        <v>3.9135775526950654E-2</v>
      </c>
      <c r="O56" s="12">
        <f t="shared" ref="O56:O60" si="48">N56*(1+B$16)</f>
        <v>4.5006141855993248E-2</v>
      </c>
      <c r="P56" s="21">
        <f t="shared" ref="P56:P60" si="49">O56*B$4*(1-B$7)+O56*B$6*(B$7)</f>
        <v>0.67509212783989869</v>
      </c>
      <c r="Q56" s="21">
        <f t="shared" ref="Q56:Q60" si="50">I56-M56-P56</f>
        <v>5.0899610110918569</v>
      </c>
      <c r="R56" s="21">
        <f t="shared" ref="R56:R60" si="51">Q56*B$12</f>
        <v>1.679687133660313</v>
      </c>
      <c r="S56" s="21">
        <f>Q56-R56</f>
        <v>3.410273877431544</v>
      </c>
      <c r="T56" s="9"/>
      <c r="U56" s="21">
        <f t="shared" ref="U56:U60" si="52">IF(U$15="Increase",IF(F56="y",0,IF($E56&gt;0,M56*$E56*(1+U$16),0)),IF(F56="y",0,IF($E56&gt;0,M56*$E56*(1-U$16),0)))</f>
        <v>1.3074745263203018</v>
      </c>
      <c r="V56" s="21">
        <f t="shared" ref="V56:V60" si="53">IF(V$15="Increase",IF(F56="y",0,IF($E56&gt;0,(O56*B$4*(1-B$7))*$E56*(1+V$16),0)),IF(F56="y",0,IF($E56&gt;0,(O56*B$4*(1-B$7))*$E56*(1-V$16),0)))</f>
        <v>1.3501842556797974</v>
      </c>
      <c r="W56" s="21">
        <f t="shared" ref="W56:W60" si="54">IF(W$15="Increase",IF(F56="y",0,IF($E56&gt;0,(O56*B$6*(B$7))*$E56*(1+W$16),0)),IF(F56="y",0,IF($E56&gt;0,(O56*B$6*(B$7))*$E56*(1-W$16),0)))</f>
        <v>0</v>
      </c>
      <c r="X56" s="21">
        <f t="shared" ref="X56:X60" si="55">IF(X$15="Increase",IF(F56="y",0,IF($E56&gt;0,R56*$E56*(1+X$16),0)),IF(F56="y",0,IF($E56&gt;0,R56*$E56*(1-X$16),0)))</f>
        <v>3.3593742673206259</v>
      </c>
      <c r="Y56" s="21">
        <f t="shared" ref="Y56:Y60" si="56">IF(Y$15="Increase",IF(F56="y",0,IF($E56&gt;0,S56*$E56*(1+Y$16),0)),IF(F56="y",0,IF($E56&gt;0,S56*$E56*(1-Y$16),0)))</f>
        <v>6.820547754863088</v>
      </c>
      <c r="Z56" s="21">
        <f t="shared" ref="Z56:Z60" si="57">IF(Z$15="Increase",IF(F56="y",I56*E56*(1+Z$16),0),IF(F56="y",I56*E56*(1-Z$16),0))</f>
        <v>0</v>
      </c>
    </row>
    <row r="57" spans="1:28" x14ac:dyDescent="0.2">
      <c r="A57" s="9" t="s">
        <v>37</v>
      </c>
      <c r="B57" s="9"/>
      <c r="C57" s="9"/>
      <c r="D57" s="108"/>
      <c r="E57" s="29"/>
      <c r="F57" s="30"/>
      <c r="G57" s="33"/>
      <c r="H57" s="6"/>
      <c r="I57" s="6">
        <f>IF(G57&gt;0,G57,H57-(L57*B$2*1.05)+M57-O57*12.5+P57)</f>
        <v>0.10734276632157558</v>
      </c>
      <c r="J57" s="6"/>
      <c r="K57" s="6"/>
      <c r="L57" s="11">
        <v>0.41465363511659803</v>
      </c>
      <c r="M57" s="21">
        <f t="shared" si="47"/>
        <v>0.8344904406721535</v>
      </c>
      <c r="N57" s="12">
        <v>4.9956507615401075E-2</v>
      </c>
      <c r="O57" s="12">
        <f t="shared" si="48"/>
        <v>5.744998375771123E-2</v>
      </c>
      <c r="P57" s="21">
        <f t="shared" si="49"/>
        <v>0.86174975636566842</v>
      </c>
      <c r="Q57" s="21">
        <f t="shared" si="50"/>
        <v>-1.5888974307162465</v>
      </c>
      <c r="R57" s="21">
        <f t="shared" si="51"/>
        <v>-0.52433615213636131</v>
      </c>
      <c r="S57" s="21">
        <f t="shared" ref="S57:S60" si="58">Q57-R57</f>
        <v>-1.0645612785798853</v>
      </c>
      <c r="T57" s="9"/>
      <c r="U57" s="21">
        <f t="shared" si="52"/>
        <v>0</v>
      </c>
      <c r="V57" s="21">
        <f t="shared" si="53"/>
        <v>0</v>
      </c>
      <c r="W57" s="21">
        <f t="shared" si="54"/>
        <v>0</v>
      </c>
      <c r="X57" s="21">
        <f t="shared" si="55"/>
        <v>0</v>
      </c>
      <c r="Y57" s="21">
        <f t="shared" si="56"/>
        <v>0</v>
      </c>
      <c r="Z57" s="21">
        <f t="shared" si="57"/>
        <v>0</v>
      </c>
    </row>
    <row r="58" spans="1:28" x14ac:dyDescent="0.2">
      <c r="A58" s="9" t="s">
        <v>38</v>
      </c>
      <c r="B58" s="9"/>
      <c r="C58" s="9"/>
      <c r="D58" s="108"/>
      <c r="E58" s="29"/>
      <c r="F58" s="30"/>
      <c r="G58" s="33"/>
      <c r="H58" s="6"/>
      <c r="I58" s="6">
        <f>IF(G58&gt;0,G58,H58-(L58*B$2*1.05)+M58-O58*12.5+P58)</f>
        <v>0.10267212687094218</v>
      </c>
      <c r="J58" s="6"/>
      <c r="K58" s="6"/>
      <c r="L58" s="11">
        <v>0.39661145404663922</v>
      </c>
      <c r="M58" s="21">
        <f t="shared" si="47"/>
        <v>0.79818055126886134</v>
      </c>
      <c r="N58" s="12">
        <v>4.778282751305156E-2</v>
      </c>
      <c r="O58" s="12">
        <f t="shared" si="48"/>
        <v>5.4950251640009287E-2</v>
      </c>
      <c r="P58" s="21">
        <f t="shared" si="49"/>
        <v>0.82425377460013927</v>
      </c>
      <c r="Q58" s="21">
        <f t="shared" si="50"/>
        <v>-1.5197621989980585</v>
      </c>
      <c r="R58" s="21">
        <f t="shared" si="51"/>
        <v>-0.50152152566935937</v>
      </c>
      <c r="S58" s="21">
        <f t="shared" si="58"/>
        <v>-1.0182406733286991</v>
      </c>
      <c r="T58" s="9"/>
      <c r="U58" s="21">
        <f t="shared" si="52"/>
        <v>0</v>
      </c>
      <c r="V58" s="21">
        <f t="shared" si="53"/>
        <v>0</v>
      </c>
      <c r="W58" s="21">
        <f t="shared" si="54"/>
        <v>0</v>
      </c>
      <c r="X58" s="21">
        <f t="shared" si="55"/>
        <v>0</v>
      </c>
      <c r="Y58" s="21">
        <f t="shared" si="56"/>
        <v>0</v>
      </c>
      <c r="Z58" s="21">
        <f t="shared" si="57"/>
        <v>0</v>
      </c>
    </row>
    <row r="59" spans="1:28" x14ac:dyDescent="0.2">
      <c r="A59" s="9" t="s">
        <v>39</v>
      </c>
      <c r="B59" s="115">
        <v>0</v>
      </c>
      <c r="C59" s="115">
        <v>0</v>
      </c>
      <c r="D59" s="132">
        <f>'Machinery(GMO)'!D25</f>
        <v>0</v>
      </c>
      <c r="E59" s="78">
        <f>IF('Machinery(GMO)'!$C$17='Machinery(GMO)'!$B$72,D59,IF('Machinery(GMO)'!$C$16='Machinery(GMO)'!$B$69,B59,C59))</f>
        <v>0</v>
      </c>
      <c r="F59" s="30" t="str">
        <f>IF('Machinery(GMO)'!C17='Machinery(GMO)'!B73,'Machinery(GMO)'!B50,'Machinery(GMO)'!E25)</f>
        <v>N</v>
      </c>
      <c r="G59" s="33"/>
      <c r="H59" s="6">
        <v>13.5</v>
      </c>
      <c r="I59" s="327">
        <f>H59+J59+K59</f>
        <v>13.3269375</v>
      </c>
      <c r="J59" s="6">
        <f>L59*(B$3-B$2)</f>
        <v>-0.17306250000000001</v>
      </c>
      <c r="K59" s="6">
        <f>(B$4*(1-B$7)+B$6*(B$7) - B$14)*O59</f>
        <v>0</v>
      </c>
      <c r="L59" s="11">
        <v>0.69225000000000003</v>
      </c>
      <c r="M59" s="21">
        <f t="shared" si="47"/>
        <v>1.393153125</v>
      </c>
      <c r="N59" s="12">
        <v>8.3400673400673392E-2</v>
      </c>
      <c r="O59" s="12">
        <f t="shared" si="48"/>
        <v>9.5910774410774391E-2</v>
      </c>
      <c r="P59" s="21">
        <f t="shared" si="49"/>
        <v>1.4386616161616159</v>
      </c>
      <c r="Q59" s="21">
        <f t="shared" si="50"/>
        <v>10.495122758838384</v>
      </c>
      <c r="R59" s="21">
        <f t="shared" si="51"/>
        <v>3.4633905104166671</v>
      </c>
      <c r="S59" s="21">
        <f t="shared" si="58"/>
        <v>7.0317322484217168</v>
      </c>
      <c r="T59" s="9"/>
      <c r="U59" s="21">
        <f t="shared" si="52"/>
        <v>0</v>
      </c>
      <c r="V59" s="21">
        <f t="shared" si="53"/>
        <v>0</v>
      </c>
      <c r="W59" s="21">
        <f t="shared" si="54"/>
        <v>0</v>
      </c>
      <c r="X59" s="21">
        <f t="shared" si="55"/>
        <v>0</v>
      </c>
      <c r="Y59" s="21">
        <f t="shared" si="56"/>
        <v>0</v>
      </c>
      <c r="Z59" s="21">
        <f t="shared" si="57"/>
        <v>0</v>
      </c>
    </row>
    <row r="60" spans="1:28" x14ac:dyDescent="0.2">
      <c r="A60" s="9" t="s">
        <v>40</v>
      </c>
      <c r="B60" s="9"/>
      <c r="C60" s="9"/>
      <c r="D60" s="108"/>
      <c r="E60" s="29"/>
      <c r="F60" s="30"/>
      <c r="G60" s="33"/>
      <c r="H60" s="6"/>
      <c r="I60" s="6">
        <f>IF(G60&gt;0,G60,H60-(L60*B$2*1.05)+M60-O60*12.5+P60)</f>
        <v>0.28781791351491126</v>
      </c>
      <c r="J60" s="6"/>
      <c r="K60" s="6"/>
      <c r="L60" s="11">
        <v>1.1118098422496572</v>
      </c>
      <c r="M60" s="21">
        <f t="shared" si="47"/>
        <v>2.2375173075274346</v>
      </c>
      <c r="N60" s="12">
        <v>0.13394826946495897</v>
      </c>
      <c r="O60" s="12">
        <f t="shared" si="48"/>
        <v>0.1540405098847028</v>
      </c>
      <c r="P60" s="21">
        <f t="shared" si="49"/>
        <v>2.3106076482705422</v>
      </c>
      <c r="Q60" s="21">
        <f t="shared" si="50"/>
        <v>-4.2603070422830651</v>
      </c>
      <c r="R60" s="21">
        <f t="shared" si="51"/>
        <v>-1.4059013239534115</v>
      </c>
      <c r="S60" s="21">
        <f t="shared" si="58"/>
        <v>-2.8544057183296534</v>
      </c>
      <c r="T60" s="9"/>
      <c r="U60" s="21">
        <f t="shared" si="52"/>
        <v>0</v>
      </c>
      <c r="V60" s="21">
        <f t="shared" si="53"/>
        <v>0</v>
      </c>
      <c r="W60" s="21">
        <f t="shared" si="54"/>
        <v>0</v>
      </c>
      <c r="X60" s="21">
        <f t="shared" si="55"/>
        <v>0</v>
      </c>
      <c r="Y60" s="21">
        <f t="shared" si="56"/>
        <v>0</v>
      </c>
      <c r="Z60" s="21">
        <f t="shared" si="57"/>
        <v>0</v>
      </c>
    </row>
    <row r="61" spans="1:28" x14ac:dyDescent="0.2">
      <c r="A61" s="9"/>
      <c r="B61" s="9"/>
      <c r="C61" s="9"/>
      <c r="D61" s="108"/>
      <c r="E61" s="29"/>
      <c r="F61" s="30"/>
      <c r="G61" s="33"/>
      <c r="H61" s="6"/>
      <c r="I61" s="6"/>
      <c r="J61" s="6"/>
      <c r="K61" s="6"/>
      <c r="L61" s="9"/>
      <c r="M61" s="9"/>
      <c r="N61" s="9"/>
      <c r="O61" s="9"/>
      <c r="P61" s="9"/>
      <c r="Q61" s="9"/>
      <c r="R61" s="9"/>
      <c r="S61" s="9"/>
      <c r="T61" s="9"/>
      <c r="U61" s="9"/>
      <c r="V61" s="9"/>
      <c r="W61" s="9"/>
      <c r="X61" s="9"/>
      <c r="Y61" s="9"/>
      <c r="Z61" s="4"/>
    </row>
    <row r="62" spans="1:28" x14ac:dyDescent="0.2">
      <c r="A62" s="10" t="s">
        <v>41</v>
      </c>
      <c r="B62" s="10"/>
      <c r="C62" s="10"/>
      <c r="D62" s="117"/>
      <c r="E62" s="29"/>
      <c r="F62" s="30"/>
      <c r="G62" s="33"/>
      <c r="H62" s="6"/>
      <c r="I62" s="6"/>
      <c r="J62" s="6"/>
      <c r="K62" s="6"/>
      <c r="L62" s="9"/>
      <c r="M62" s="9"/>
      <c r="N62" s="9"/>
      <c r="O62" s="9"/>
      <c r="P62" s="9"/>
      <c r="Q62" s="9"/>
      <c r="R62" s="9"/>
      <c r="S62" s="9"/>
      <c r="T62" s="9"/>
      <c r="U62" s="9"/>
      <c r="V62" s="9"/>
      <c r="W62" s="9"/>
      <c r="X62" s="9"/>
      <c r="Y62" s="9"/>
      <c r="Z62" s="4"/>
    </row>
    <row r="63" spans="1:28" x14ac:dyDescent="0.2">
      <c r="A63" s="9" t="s">
        <v>42</v>
      </c>
      <c r="B63" s="115">
        <v>2.5</v>
      </c>
      <c r="C63" s="115">
        <v>2.5</v>
      </c>
      <c r="D63" s="132">
        <f>'Machinery(GMO)'!D23</f>
        <v>2.5</v>
      </c>
      <c r="E63" s="78">
        <f>IF('Machinery(GMO)'!$C$17='Machinery(GMO)'!$B$72,D63,IF('Machinery(GMO)'!$C$16='Machinery(GMO)'!$B$69,B63,C63))</f>
        <v>2.5</v>
      </c>
      <c r="F63" s="30" t="str">
        <f>IF('Machinery(GMO)'!C17='Machinery(GMO)'!B73,'Machinery(GMO)'!B50,'Machinery(GMO)'!E23)</f>
        <v>N</v>
      </c>
      <c r="G63" s="33"/>
      <c r="H63" s="6">
        <v>7.5</v>
      </c>
      <c r="I63" s="327">
        <f>H63+J63+K63</f>
        <v>7.4704375000000001</v>
      </c>
      <c r="J63" s="6">
        <f>L63*(B$3-B$2)</f>
        <v>-2.9562500000000002E-2</v>
      </c>
      <c r="K63" s="6">
        <f>(B$4*(1-B$7)+B$6*(B$7) - B$14)*O63</f>
        <v>0</v>
      </c>
      <c r="L63" s="11">
        <v>0.11825000000000001</v>
      </c>
      <c r="M63" s="21">
        <f t="shared" ref="M63:M64" si="59">L63*B$3*(1+B$13)</f>
        <v>0.23797812500000001</v>
      </c>
      <c r="N63" s="12">
        <v>0.03</v>
      </c>
      <c r="O63" s="12">
        <f t="shared" ref="O63:O64" si="60">N63*(1+B$16)</f>
        <v>3.4499999999999996E-2</v>
      </c>
      <c r="P63" s="21">
        <f>O63*B$4*(1-B$7)+O63*B$6*(B$7)</f>
        <v>0.51749999999999996</v>
      </c>
      <c r="Q63" s="21">
        <f>I63-M63-P63</f>
        <v>6.7149593750000003</v>
      </c>
      <c r="R63" s="21">
        <f>Q63*B$12</f>
        <v>2.2159365937500004</v>
      </c>
      <c r="S63" s="21">
        <f>Q63-R63</f>
        <v>4.4990227812499999</v>
      </c>
      <c r="T63" s="9"/>
      <c r="U63" s="21">
        <f>IF(U$15="Increase",IF(F63="y",0,IF($E63&gt;0,M63*$E63*(1+U$16),0)),IF(F63="y",0,IF($E63&gt;0,M63*$E63*(1-U$16),0)))</f>
        <v>0.59494531250000005</v>
      </c>
      <c r="V63" s="21">
        <f>IF(V$15="Increase",IF(F63="y",0,IF($E63&gt;0,(O63*B$4*(1-B$7))*$E63*(1+V$16),0)),IF(F63="y",0,IF($E63&gt;0,(O63*B$4*(1-B$7))*$E63*(1-V$16),0)))</f>
        <v>1.29375</v>
      </c>
      <c r="W63" s="21">
        <f>IF(W$15="Increase",IF(F63="y",0,IF($E63&gt;0,(O63*B$6*(B$7))*$E63*(1+W$16),0)),IF(F63="y",0,IF($E63&gt;0,(O63*B$6*(B$7))*$E63*(1-W$16),0)))</f>
        <v>0</v>
      </c>
      <c r="X63" s="21">
        <f>IF(X$15="Increase",IF(F63="y",0,IF($E63&gt;0,R63*$E63*(1+X$16),0)),IF(F63="y",0,IF($E63&gt;0,R63*$E63*(1-X$16),0)))</f>
        <v>5.5398414843750015</v>
      </c>
      <c r="Y63" s="21">
        <f>IF(Y$15="Increase",IF(F63="y",0,IF($E63&gt;0,S63*$E63*(1+Y$16),0)),IF(F63="y",0,IF($E63&gt;0,S63*$E63*(1-Y$16),0)))</f>
        <v>11.247556953124999</v>
      </c>
      <c r="Z63" s="21">
        <f>IF(Z$15="Increase",IF(F63="y",I63*E63*(1+Z$16),0),IF(F63="y",I63*E63*(1-Z$16),0))</f>
        <v>0</v>
      </c>
    </row>
    <row r="64" spans="1:28" x14ac:dyDescent="0.2">
      <c r="A64" s="9" t="s">
        <v>43</v>
      </c>
      <c r="B64" s="9"/>
      <c r="C64" s="9"/>
      <c r="D64" s="9"/>
      <c r="E64" s="29"/>
      <c r="F64" s="30"/>
      <c r="G64" s="33"/>
      <c r="H64" s="6"/>
      <c r="I64" s="6">
        <f>IF(G64&gt;0,G64,H64-(L64*B$2*1.05)+M64-O64*12.5+P64)</f>
        <v>3.2967592592592604E-2</v>
      </c>
      <c r="J64" s="6"/>
      <c r="K64" s="6"/>
      <c r="L64" s="11">
        <v>0.11</v>
      </c>
      <c r="M64" s="21">
        <f t="shared" si="59"/>
        <v>0.22137499999999999</v>
      </c>
      <c r="N64" s="12">
        <v>1.4814814814814815E-2</v>
      </c>
      <c r="O64" s="12">
        <f t="shared" si="60"/>
        <v>1.7037037037037038E-2</v>
      </c>
      <c r="P64" s="21">
        <f>O64*B$4*(1-B$7)+O64*B$6*(B$7)</f>
        <v>0.25555555555555559</v>
      </c>
      <c r="Q64" s="21">
        <f>I64-M64-P64</f>
        <v>-0.443962962962963</v>
      </c>
      <c r="R64" s="21">
        <f>Q64*B$12</f>
        <v>-0.14650777777777779</v>
      </c>
      <c r="S64" s="21">
        <f>Q64-R64</f>
        <v>-0.29745518518518521</v>
      </c>
      <c r="T64" s="9"/>
      <c r="U64" s="21">
        <f>IF(U$15="Increase",IF(F64="y",0,IF($E64&gt;0,M64*$E64*(1+U$16),0)),IF(F64="y",0,IF($E64&gt;0,M64*$E64*(1-U$16),0)))</f>
        <v>0</v>
      </c>
      <c r="V64" s="21">
        <f>IF(V$15="Increase",IF(F64="y",0,IF($E64&gt;0,(O64*B$4*(1-B$7))*$E64*(1+V$16),0)),IF(F64="y",0,IF($E64&gt;0,(O64*B$4*(1-B$7))*$E64*(1-V$16),0)))</f>
        <v>0</v>
      </c>
      <c r="W64" s="21">
        <f>IF(W$15="Increase",IF(F64="y",0,IF($E64&gt;0,(O64*B$6*(B$7))*$E64*(1+W$16),0)),IF(F64="y",0,IF($E64&gt;0,(O64*B$6*(B$7))*$E64*(1-W$16),0)))</f>
        <v>0</v>
      </c>
      <c r="X64" s="21">
        <f>IF(X$15="Increase",IF(F64="y",0,IF($E64&gt;0,R64*$E64*(1+X$16),0)),IF(F64="y",0,IF($E64&gt;0,R64*$E64*(1-X$16),0)))</f>
        <v>0</v>
      </c>
      <c r="Y64" s="21">
        <f>IF(Y$15="Increase",IF(F64="y",0,IF($E64&gt;0,S64*$E64*(1+Y$16),0)),IF(F64="y",0,IF($E64&gt;0,S64*$E64*(1-Y$16),0)))</f>
        <v>0</v>
      </c>
      <c r="Z64" s="21">
        <f>IF(Z$15="Increase",IF(F64="y",I64*E64*(1+Z$16),0),IF(F64="y",I64*E64*(1-Z$16),0))</f>
        <v>0</v>
      </c>
    </row>
    <row r="65" spans="1:28" x14ac:dyDescent="0.2">
      <c r="A65" s="9"/>
      <c r="B65" s="9"/>
      <c r="C65" s="9"/>
      <c r="D65" s="9"/>
      <c r="E65" s="29"/>
      <c r="F65" s="30"/>
      <c r="G65" s="33"/>
      <c r="H65" s="6"/>
      <c r="I65" s="6"/>
      <c r="J65" s="6"/>
      <c r="K65" s="6"/>
      <c r="L65" s="9"/>
      <c r="M65" s="9"/>
      <c r="N65" s="9"/>
      <c r="O65" s="9"/>
      <c r="P65" s="9"/>
      <c r="Q65" s="9"/>
      <c r="R65" s="9"/>
      <c r="S65" s="9"/>
      <c r="T65" s="9"/>
      <c r="U65" s="9"/>
      <c r="V65" s="9"/>
      <c r="W65" s="9"/>
      <c r="X65" s="9"/>
      <c r="Y65" s="9"/>
      <c r="Z65" s="4"/>
    </row>
    <row r="66" spans="1:28" x14ac:dyDescent="0.2">
      <c r="A66" s="10" t="s">
        <v>44</v>
      </c>
      <c r="B66" s="10"/>
      <c r="C66" s="10"/>
      <c r="D66" s="10"/>
      <c r="E66" s="29"/>
      <c r="F66" s="30"/>
      <c r="G66" s="33"/>
      <c r="H66" s="6"/>
      <c r="I66" s="6"/>
      <c r="J66" s="6"/>
      <c r="K66" s="6"/>
      <c r="L66" s="9"/>
      <c r="M66" s="9"/>
      <c r="N66" s="9"/>
      <c r="O66" s="9"/>
      <c r="P66" s="9"/>
      <c r="Q66" s="9"/>
      <c r="R66" s="9"/>
      <c r="S66" s="9"/>
      <c r="T66" s="9"/>
      <c r="U66" s="9"/>
      <c r="V66" s="9"/>
      <c r="W66" s="9"/>
      <c r="X66" s="9"/>
      <c r="Y66" s="9"/>
      <c r="Z66" s="4"/>
    </row>
    <row r="67" spans="1:28" x14ac:dyDescent="0.2">
      <c r="A67" s="9" t="s">
        <v>45</v>
      </c>
      <c r="B67" s="9"/>
      <c r="C67" s="9"/>
      <c r="D67" s="9"/>
      <c r="E67" s="29"/>
      <c r="F67" s="30"/>
      <c r="G67" s="33"/>
      <c r="H67" s="6"/>
      <c r="I67" s="6">
        <f>IF(G67&gt;0,G67,H67-(L67*B$2*1.05)+M67-O67*12.5+P67)</f>
        <v>8.7246990740740715E-2</v>
      </c>
      <c r="J67" s="6"/>
      <c r="K67" s="6"/>
      <c r="L67" s="11">
        <v>0.26850000000000002</v>
      </c>
      <c r="M67" s="21">
        <f t="shared" ref="M67:M68" si="61">L67*B$3*(1+B$13)</f>
        <v>0.54035624999999998</v>
      </c>
      <c r="N67" s="12">
        <v>3.8518518518518521E-2</v>
      </c>
      <c r="O67" s="12">
        <f t="shared" ref="O67:O68" si="62">N67*(1+B$16)</f>
        <v>4.4296296296296299E-2</v>
      </c>
      <c r="P67" s="21">
        <f>O67*B$4*(1-B$7)+O67*B$6*(B$7)</f>
        <v>0.6644444444444445</v>
      </c>
      <c r="Q67" s="21">
        <f>I67-M67-P67</f>
        <v>-1.1175537037037038</v>
      </c>
      <c r="R67" s="21">
        <f>Q67*B$12</f>
        <v>-0.36879272222222226</v>
      </c>
      <c r="S67" s="21">
        <f>Q67-R67</f>
        <v>-0.74876098148148151</v>
      </c>
      <c r="T67" s="9"/>
      <c r="U67" s="21">
        <f>IF(U$15="Increase",IF(F67="y",0,IF($E67&gt;0,M67*$E67*(1+U$16),0)),IF(F67="y",0,IF($E67&gt;0,M67*$E67*(1-U$16),0)))</f>
        <v>0</v>
      </c>
      <c r="V67" s="21">
        <f>IF(V$15="Increase",IF(F67="y",0,IF($E67&gt;0,(O67*B$4*(1-B$7))*$E67*(1+V$16),0)),IF(F67="y",0,IF($E67&gt;0,(O67*B$4*(1-B$7))*$E67*(1-V$16),0)))</f>
        <v>0</v>
      </c>
      <c r="W67" s="21">
        <f>IF(W$15="Increase",IF(F67="y",0,IF($E67&gt;0,(O67*B$6*(B$7))*$E67*(1+W$16),0)),IF(F67="y",0,IF($E67&gt;0,(O67*B$6*(B$7))*$E67*(1-W$16),0)))</f>
        <v>0</v>
      </c>
      <c r="X67" s="21">
        <f>IF(X$15="Increase",IF(F67="y",0,IF($E67&gt;0,R67*$E67*(1+X$16),0)),IF(F67="y",0,IF($E67&gt;0,R67*$E67*(1-X$16),0)))</f>
        <v>0</v>
      </c>
      <c r="Y67" s="21">
        <f>IF(Y$15="Increase",IF(F67="y",0,IF($E67&gt;0,S67*$E67*(1+Y$16),0)),IF(F67="y",0,IF($E67&gt;0,S67*$E67*(1-Y$16),0)))</f>
        <v>0</v>
      </c>
      <c r="Z67" s="21">
        <f>IF(Z$15="Increase",IF(F67="y",I67*E67*(1+Z$16),0),IF(F67="y",I67*E67*(1-Z$16),0))</f>
        <v>0</v>
      </c>
    </row>
    <row r="68" spans="1:28" x14ac:dyDescent="0.2">
      <c r="A68" s="9" t="s">
        <v>46</v>
      </c>
      <c r="B68" s="9"/>
      <c r="C68" s="9"/>
      <c r="D68" s="9"/>
      <c r="E68" s="29"/>
      <c r="F68" s="30"/>
      <c r="G68" s="33"/>
      <c r="H68" s="6"/>
      <c r="I68" s="6">
        <f>IF(G68&gt;0,G68,H68-(L68*B$2*1.05)+M68-O68*12.5+P68)</f>
        <v>0.19769099326599315</v>
      </c>
      <c r="J68" s="6"/>
      <c r="K68" s="6"/>
      <c r="L68" s="11">
        <v>0.52800000000000002</v>
      </c>
      <c r="M68" s="21">
        <f t="shared" si="61"/>
        <v>1.0626</v>
      </c>
      <c r="N68" s="12">
        <v>8.4831649831649841E-2</v>
      </c>
      <c r="O68" s="12">
        <f t="shared" si="62"/>
        <v>9.7556397306397313E-2</v>
      </c>
      <c r="P68" s="21">
        <f>O68*B$4*(1-B$7)+O68*B$6*(B$7)</f>
        <v>1.4633459595959597</v>
      </c>
      <c r="Q68" s="21">
        <f>I68-M68-P68</f>
        <v>-2.3282549663299665</v>
      </c>
      <c r="R68" s="21">
        <f>Q68*B$12</f>
        <v>-0.76832413888888895</v>
      </c>
      <c r="S68" s="21">
        <f>Q68-R68</f>
        <v>-1.5599308274410775</v>
      </c>
      <c r="T68" s="9"/>
      <c r="U68" s="21">
        <f>IF(U$15="Increase",IF(F68="y",0,IF($E68&gt;0,M68*$E68*(1+U$16),0)),IF(F68="y",0,IF($E68&gt;0,M68*$E68*(1-U$16),0)))</f>
        <v>0</v>
      </c>
      <c r="V68" s="21">
        <f>IF(V$15="Increase",IF(F68="y",0,IF($E68&gt;0,(O68*B$4*(1-B$7))*$E68*(1+V$16),0)),IF(F68="y",0,IF($E68&gt;0,(O68*B$4*(1-B$7))*$E68*(1-V$16),0)))</f>
        <v>0</v>
      </c>
      <c r="W68" s="21">
        <f>IF(W$15="Increase",IF(F68="y",0,IF($E68&gt;0,(O68*B$6*(B$7))*$E68*(1+W$16),0)),IF(F68="y",0,IF($E68&gt;0,(O68*B$6*(B$7))*$E68*(1-W$16),0)))</f>
        <v>0</v>
      </c>
      <c r="X68" s="21">
        <f>IF(X$15="Increase",IF(F68="y",0,IF($E68&gt;0,R68*$E68*(1+X$16),0)),IF(F68="y",0,IF($E68&gt;0,R68*$E68*(1-X$16),0)))</f>
        <v>0</v>
      </c>
      <c r="Y68" s="21">
        <f>IF(Y$15="Increase",IF(F68="y",0,IF($E68&gt;0,S68*$E68*(1+Y$16),0)),IF(F68="y",0,IF($E68&gt;0,S68*$E68*(1-Y$16),0)))</f>
        <v>0</v>
      </c>
      <c r="Z68" s="21">
        <f>IF(Z$15="Increase",IF(F68="y",I68*E68*(1+Z$16),0),IF(F68="y",I68*E68*(1-Z$16),0))</f>
        <v>0</v>
      </c>
    </row>
    <row r="69" spans="1:28" x14ac:dyDescent="0.2">
      <c r="A69" s="9"/>
      <c r="B69" s="9"/>
      <c r="C69" s="9"/>
      <c r="D69" s="9"/>
      <c r="E69" s="29"/>
      <c r="F69" s="30"/>
      <c r="G69" s="33"/>
      <c r="H69" s="6"/>
      <c r="I69" s="6"/>
      <c r="J69" s="6"/>
      <c r="K69" s="6"/>
      <c r="L69" s="11"/>
      <c r="M69" s="5"/>
      <c r="N69" s="12"/>
      <c r="O69" s="12"/>
      <c r="P69" s="5"/>
      <c r="Q69" s="5"/>
      <c r="R69" s="5"/>
      <c r="S69" s="5"/>
      <c r="T69" s="4"/>
      <c r="U69" s="21"/>
      <c r="V69" s="21"/>
      <c r="W69" s="21"/>
      <c r="X69" s="21"/>
      <c r="Y69" s="21"/>
      <c r="Z69" s="21"/>
    </row>
    <row r="70" spans="1:28" s="23" customFormat="1" x14ac:dyDescent="0.2">
      <c r="A70" s="10" t="s">
        <v>290</v>
      </c>
      <c r="B70" s="10"/>
      <c r="C70" s="10"/>
      <c r="D70" s="10"/>
      <c r="E70" s="176"/>
      <c r="F70" s="175"/>
      <c r="G70" s="339"/>
      <c r="H70" s="6"/>
      <c r="I70" s="6"/>
      <c r="J70" s="6"/>
      <c r="K70" s="6"/>
      <c r="L70" s="11"/>
      <c r="M70" s="21"/>
      <c r="N70" s="12"/>
      <c r="O70" s="12"/>
      <c r="P70" s="21"/>
      <c r="Q70" s="21"/>
      <c r="R70" s="21"/>
      <c r="S70" s="21"/>
      <c r="T70" s="9"/>
      <c r="U70" s="21"/>
      <c r="V70" s="21"/>
      <c r="W70" s="21"/>
      <c r="X70" s="21"/>
      <c r="Y70" s="21"/>
      <c r="Z70" s="21"/>
    </row>
    <row r="71" spans="1:28" s="23" customFormat="1" x14ac:dyDescent="0.2">
      <c r="A71" s="65" t="s">
        <v>289</v>
      </c>
      <c r="B71" s="65"/>
      <c r="C71" s="65"/>
      <c r="D71" s="65"/>
      <c r="E71" s="176"/>
      <c r="F71" s="175"/>
      <c r="G71" s="339"/>
      <c r="H71" s="6"/>
      <c r="I71" s="6"/>
      <c r="J71" s="6"/>
      <c r="K71" s="6"/>
      <c r="L71" s="11"/>
      <c r="M71" s="21"/>
      <c r="N71" s="12"/>
      <c r="O71" s="12"/>
      <c r="P71" s="21"/>
      <c r="Q71" s="21"/>
      <c r="R71" s="21"/>
      <c r="S71" s="21"/>
      <c r="T71" s="9"/>
      <c r="U71" s="21"/>
      <c r="V71" s="9">
        <f>B4*(1-B7)*B15</f>
        <v>11.25</v>
      </c>
      <c r="W71" s="21">
        <f>B6*B7*B15</f>
        <v>0</v>
      </c>
      <c r="X71" s="9"/>
      <c r="Y71" s="9"/>
      <c r="Z71" s="21"/>
      <c r="AB71" s="39"/>
    </row>
    <row r="72" spans="1:28" s="23" customFormat="1" x14ac:dyDescent="0.2">
      <c r="A72" s="65" t="s">
        <v>407</v>
      </c>
      <c r="B72" s="65"/>
      <c r="C72" s="65"/>
      <c r="D72" s="65"/>
      <c r="E72" s="176"/>
      <c r="F72" s="175"/>
      <c r="G72" s="339"/>
      <c r="H72" s="6"/>
      <c r="I72" s="6"/>
      <c r="J72" s="6"/>
      <c r="K72" s="6"/>
      <c r="L72" s="11"/>
      <c r="M72" s="21"/>
      <c r="N72" s="12"/>
      <c r="O72" s="12"/>
      <c r="P72" s="21"/>
      <c r="Q72" s="21"/>
      <c r="R72" s="21"/>
      <c r="S72" s="21"/>
      <c r="T72" s="9"/>
      <c r="U72" s="21">
        <f>'Machinery(GMO)'!C38*'Machinery(GMO)'!C5</f>
        <v>0.61249999999999993</v>
      </c>
      <c r="V72" s="9"/>
      <c r="W72" s="21"/>
      <c r="X72" s="9"/>
      <c r="Y72" s="9"/>
      <c r="Z72" s="21"/>
      <c r="AB72" s="39"/>
    </row>
    <row r="73" spans="1:28" x14ac:dyDescent="0.2">
      <c r="A73" s="9"/>
      <c r="B73" s="9"/>
      <c r="C73" s="9"/>
      <c r="D73" s="9"/>
      <c r="E73" s="29"/>
      <c r="F73" s="30"/>
      <c r="G73" s="33"/>
      <c r="H73" s="6"/>
      <c r="I73" s="6"/>
      <c r="J73" s="6"/>
      <c r="K73" s="6"/>
      <c r="L73" s="11"/>
      <c r="M73" s="5"/>
      <c r="N73" s="12"/>
      <c r="O73" s="12"/>
      <c r="P73" s="5"/>
      <c r="Q73" s="5"/>
      <c r="R73" s="5"/>
      <c r="S73" s="5"/>
      <c r="T73" s="4"/>
      <c r="U73" s="21"/>
      <c r="V73" s="21"/>
      <c r="W73" s="21"/>
      <c r="X73" s="21"/>
      <c r="Y73" s="21"/>
      <c r="Z73" s="21"/>
      <c r="AB73" s="16"/>
    </row>
    <row r="74" spans="1:28" x14ac:dyDescent="0.2">
      <c r="A74" s="13" t="s">
        <v>83</v>
      </c>
      <c r="B74" s="13"/>
      <c r="C74" s="13"/>
      <c r="D74" s="13"/>
      <c r="E74" s="27"/>
      <c r="F74" s="28"/>
      <c r="G74" s="34"/>
      <c r="H74" s="9"/>
      <c r="I74" s="4"/>
      <c r="J74" s="4"/>
      <c r="K74" s="4"/>
      <c r="L74" s="4"/>
      <c r="M74" s="4"/>
      <c r="N74" s="4"/>
      <c r="O74" s="4"/>
      <c r="P74" s="4"/>
      <c r="Q74" s="4"/>
      <c r="R74" s="4"/>
      <c r="S74" s="4"/>
      <c r="T74" s="4"/>
      <c r="U74" s="15">
        <f t="shared" ref="U74:Z74" si="63">SUM(U20:U73)</f>
        <v>12.207172799346617</v>
      </c>
      <c r="V74" s="15">
        <f t="shared" si="63"/>
        <v>26.3264342556798</v>
      </c>
      <c r="W74" s="15">
        <f t="shared" si="63"/>
        <v>0</v>
      </c>
      <c r="X74" s="15">
        <f t="shared" si="63"/>
        <v>29.290007070520808</v>
      </c>
      <c r="Y74" s="15">
        <f t="shared" si="63"/>
        <v>59.467590112875563</v>
      </c>
      <c r="Z74" s="15">
        <f t="shared" si="63"/>
        <v>0</v>
      </c>
    </row>
    <row r="75" spans="1:28" s="8" customFormat="1" x14ac:dyDescent="0.2">
      <c r="A75" s="13" t="s">
        <v>130</v>
      </c>
      <c r="B75" s="13"/>
      <c r="C75" s="13"/>
      <c r="D75" s="13"/>
      <c r="E75" s="27"/>
      <c r="F75" s="28"/>
      <c r="G75" s="34"/>
      <c r="H75" s="179"/>
      <c r="I75" s="13"/>
      <c r="J75" s="13"/>
      <c r="K75" s="13"/>
      <c r="L75" s="13"/>
      <c r="M75" s="13"/>
      <c r="N75" s="13"/>
      <c r="O75" s="13"/>
      <c r="P75" s="13"/>
      <c r="Q75" s="13"/>
      <c r="R75" s="13"/>
      <c r="S75" s="13"/>
      <c r="T75" s="13"/>
      <c r="U75" s="15">
        <f>U74 - (U74/$Z76)*GMO!$J25</f>
        <v>12.207172799346617</v>
      </c>
      <c r="V75" s="15">
        <f>V74 - (V74/$Z76)*GMO!$J25</f>
        <v>26.3264342556798</v>
      </c>
      <c r="W75" s="15">
        <f>W74 - (W74/$Z76)*GMO!$J25</f>
        <v>0</v>
      </c>
      <c r="X75" s="15">
        <f>X74 - (X74/$Z76)*GMO!$J25</f>
        <v>29.290007070520808</v>
      </c>
      <c r="Y75" s="15">
        <f>Y74 - (Y74/$Z76)*GMO!$J25</f>
        <v>59.467590112875563</v>
      </c>
      <c r="Z75" s="15">
        <f>GMO!J25</f>
        <v>0</v>
      </c>
    </row>
    <row r="76" spans="1:28" x14ac:dyDescent="0.2">
      <c r="Z76" s="7">
        <f>SUM(U74:Z74)</f>
        <v>127.29120423842278</v>
      </c>
    </row>
    <row r="77" spans="1:28" x14ac:dyDescent="0.2">
      <c r="V77" s="2"/>
      <c r="Z77" s="7">
        <f>SUM(U75:Z75)</f>
        <v>127.29120423842278</v>
      </c>
    </row>
    <row r="78" spans="1:28" x14ac:dyDescent="0.2">
      <c r="N78" s="91"/>
      <c r="O78" s="91"/>
      <c r="T78" s="38"/>
      <c r="U78" s="92"/>
      <c r="V78" s="90"/>
      <c r="W78" s="90"/>
      <c r="X78" s="90"/>
      <c r="Y78" s="90"/>
      <c r="Z78" s="92"/>
    </row>
    <row r="79" spans="1:28" x14ac:dyDescent="0.2">
      <c r="A79" s="23"/>
      <c r="B79" s="23"/>
      <c r="C79" s="23"/>
      <c r="D79" s="23"/>
      <c r="E79" s="23"/>
      <c r="F79" s="23"/>
      <c r="G79" s="23"/>
      <c r="I79" s="23"/>
      <c r="J79" s="23"/>
      <c r="K79" s="23"/>
      <c r="L79" s="23"/>
      <c r="M79" s="23"/>
      <c r="N79" s="23"/>
      <c r="O79" s="23"/>
      <c r="P79" s="23"/>
      <c r="Q79" s="23"/>
      <c r="R79" s="23"/>
      <c r="S79" s="23"/>
      <c r="T79" s="82"/>
      <c r="U79" s="92"/>
      <c r="V79" s="92"/>
      <c r="W79" s="92"/>
      <c r="X79" s="92"/>
      <c r="Y79" s="92"/>
      <c r="Z79" s="92"/>
      <c r="AA79" s="23"/>
      <c r="AB79" s="23"/>
    </row>
    <row r="80" spans="1:28" x14ac:dyDescent="0.2">
      <c r="A80" s="23"/>
      <c r="B80" s="23"/>
      <c r="C80" s="23"/>
      <c r="D80" s="23"/>
      <c r="E80" s="23"/>
      <c r="F80" s="23"/>
      <c r="G80" s="23"/>
      <c r="I80" s="23"/>
      <c r="J80" s="23"/>
      <c r="K80" s="23"/>
      <c r="L80" s="23"/>
      <c r="M80" s="23"/>
      <c r="N80" s="23"/>
      <c r="O80" s="23"/>
      <c r="P80" s="23"/>
      <c r="Q80" s="23"/>
      <c r="R80" s="23"/>
      <c r="S80" s="23"/>
      <c r="T80" s="23"/>
      <c r="U80" s="23"/>
      <c r="V80" s="23"/>
      <c r="W80" s="23"/>
      <c r="X80" s="23"/>
      <c r="Y80" s="23"/>
      <c r="Z80" s="23"/>
      <c r="AA80" s="23"/>
      <c r="AB80" s="23"/>
    </row>
    <row r="81" spans="1:28" x14ac:dyDescent="0.2">
      <c r="A81" s="687" t="s">
        <v>102</v>
      </c>
      <c r="B81" s="688"/>
      <c r="C81" s="688"/>
      <c r="D81" s="688"/>
      <c r="E81" s="689"/>
      <c r="F81" s="23"/>
      <c r="G81" s="23"/>
      <c r="I81" s="21">
        <f>IF(G51&gt;0,G51,Trucking!H25*GMO!E6)</f>
        <v>26.216404684238974</v>
      </c>
      <c r="J81" s="21"/>
      <c r="K81" s="21"/>
      <c r="L81" s="21">
        <f>((GMO!E6*Trucking!B25*2)*(1+Trucking!C4))/(Trucking!C3*Trucking!C2)</f>
        <v>1.5657894736842106</v>
      </c>
      <c r="M81" s="21">
        <f>L51*Trucking!C9</f>
        <v>3.2411842105263156</v>
      </c>
      <c r="N81" s="9"/>
      <c r="O81" s="9">
        <f>GMO!E6*((((B8*2)/Trucking!C7) + (Trucking!C5/60)))/Trucking!C2</f>
        <v>0.37777777777777782</v>
      </c>
      <c r="P81" s="21">
        <f>O51*B$4*(1-B$7)+O51*B$6*(B$7)</f>
        <v>5.666666666666667</v>
      </c>
      <c r="Q81" s="21">
        <f>I81-M81-P81</f>
        <v>17.308553807045989</v>
      </c>
      <c r="R81" s="21">
        <f>Q81*B$12</f>
        <v>5.7118227563251764</v>
      </c>
      <c r="S81" s="21">
        <f>Q81-R81</f>
        <v>11.596731050720813</v>
      </c>
      <c r="T81" s="9"/>
      <c r="U81" s="21">
        <f>IF(U$15="Increase",IF(F51="y",0,IF($B8&gt;0,M51*(1+U$16),0)),IF(F51="y",0,IF($B8&gt;0,M51*(1-U$16),0)))</f>
        <v>3.2411842105263156</v>
      </c>
      <c r="V81" s="21">
        <f>IF(V$15="Increase",IF(F51="y",0,IF($B8&gt;0,(O51*B$4*(1-B$7)*(1+V$16)),0)),IF(F51="y",0,IF($B8&gt;0,(O51*B$4*(1-B$7)*(1-V$16)),0)))</f>
        <v>5.666666666666667</v>
      </c>
      <c r="W81" s="21">
        <f>IF(W$15="Increase",IF(F51="y",0,IF($B8&gt;0,(O51*B$6*(B$7)*(1+W$16)),0)),IF(F51="y",0,IF($B8&gt;0,(O51*B$6*(B$7)*(1-W$16)),0)))</f>
        <v>0</v>
      </c>
      <c r="X81" s="21">
        <f>IF(X$15="Increase",IF(F51="y",0,IF($B8&gt;0,R51*(1+X$16),0)),IF(F51="y",0,IF($B8&gt;0,R51*(1-X$16),0)))</f>
        <v>5.7118227563251764</v>
      </c>
      <c r="Y81" s="21">
        <f>IF(Y$15="Increase",IF(F51="y",0,IF($B8&gt;0,S51*(1+Y$16),0)),IF(F51="y",0,IF($B8&gt;0,S51*(1-Y$16),0)))</f>
        <v>11.596731050720813</v>
      </c>
      <c r="Z81" s="21">
        <f>IF(Z$15="Increase",IF(F51="y",I51*(1+Z$16),0),IF(F51="y",I51*(1-Z$16),0))</f>
        <v>0</v>
      </c>
      <c r="AA81" s="181">
        <f>SUM(U81:Z81)</f>
        <v>26.216404684238974</v>
      </c>
      <c r="AB81" s="23"/>
    </row>
    <row r="82" spans="1:28" x14ac:dyDescent="0.2">
      <c r="A82" s="23"/>
      <c r="B82" s="23"/>
      <c r="C82" s="23"/>
      <c r="D82" s="23"/>
      <c r="E82" s="23"/>
      <c r="F82" s="23"/>
      <c r="G82" s="23"/>
      <c r="I82" s="23"/>
      <c r="J82" s="23"/>
      <c r="K82" s="23"/>
      <c r="L82" s="23"/>
      <c r="M82" s="23"/>
      <c r="N82" s="23"/>
      <c r="O82" s="23"/>
      <c r="P82" s="23"/>
      <c r="Q82" s="23"/>
      <c r="R82" s="23"/>
      <c r="S82" s="23"/>
      <c r="T82" s="23"/>
      <c r="U82" s="23"/>
      <c r="V82" s="23"/>
      <c r="W82" s="23"/>
      <c r="X82" s="23"/>
      <c r="Y82" s="23"/>
      <c r="Z82" s="23"/>
      <c r="AA82" s="23"/>
      <c r="AB82" s="23"/>
    </row>
    <row r="83" spans="1:28" x14ac:dyDescent="0.2">
      <c r="A83" s="23"/>
      <c r="B83" s="23"/>
      <c r="C83" s="23"/>
      <c r="D83" s="23"/>
      <c r="E83" s="23"/>
      <c r="F83" s="23"/>
      <c r="G83" s="23"/>
      <c r="I83" s="23"/>
      <c r="J83" s="23"/>
      <c r="K83" s="23"/>
      <c r="L83" s="23"/>
      <c r="M83" s="23"/>
      <c r="N83" s="23"/>
      <c r="O83" s="23"/>
      <c r="P83" s="23"/>
      <c r="Q83" s="23"/>
      <c r="R83" s="23"/>
      <c r="S83" s="23"/>
      <c r="T83" s="23"/>
      <c r="U83" s="23"/>
      <c r="V83" s="23"/>
      <c r="W83" s="23"/>
      <c r="X83" s="23"/>
      <c r="Y83" s="23"/>
      <c r="Z83" s="23"/>
      <c r="AA83" s="23"/>
      <c r="AB83" s="23"/>
    </row>
    <row r="84" spans="1:28" x14ac:dyDescent="0.2">
      <c r="A84" s="23"/>
      <c r="B84" s="23"/>
      <c r="C84" s="23"/>
      <c r="D84" s="23"/>
      <c r="E84" s="23"/>
      <c r="F84" s="23"/>
      <c r="G84" s="23"/>
      <c r="I84" s="23"/>
      <c r="J84" s="23"/>
      <c r="K84" s="23"/>
      <c r="L84" s="23"/>
      <c r="M84" s="23"/>
      <c r="N84" s="23"/>
      <c r="O84" s="23"/>
      <c r="P84" s="23"/>
      <c r="Q84" s="23"/>
      <c r="R84" s="23"/>
      <c r="S84" s="23"/>
      <c r="T84" s="23"/>
      <c r="U84" s="23"/>
      <c r="V84" s="23"/>
      <c r="W84" s="23"/>
      <c r="X84" s="23"/>
      <c r="Y84" s="23"/>
      <c r="Z84" s="23"/>
      <c r="AA84" s="23"/>
      <c r="AB84" s="23"/>
    </row>
    <row r="85" spans="1:28" x14ac:dyDescent="0.2">
      <c r="I85" s="97"/>
      <c r="J85" s="97"/>
      <c r="K85" s="97"/>
    </row>
    <row r="86" spans="1:28" x14ac:dyDescent="0.2">
      <c r="I86" s="82"/>
      <c r="J86" s="82"/>
      <c r="K86" s="82"/>
    </row>
    <row r="87" spans="1:28" x14ac:dyDescent="0.2">
      <c r="I87" s="82"/>
      <c r="J87" s="82"/>
      <c r="K87" s="82"/>
    </row>
    <row r="102" spans="8:8" x14ac:dyDescent="0.2">
      <c r="H102" s="23" t="str">
        <f>'Machinery(GMO)'!B49</f>
        <v>Y</v>
      </c>
    </row>
    <row r="103" spans="8:8" x14ac:dyDescent="0.2">
      <c r="H103" s="23" t="str">
        <f>'Machinery(GMO)'!B50</f>
        <v>N</v>
      </c>
    </row>
  </sheetData>
  <mergeCells count="19">
    <mergeCell ref="H14:T16"/>
    <mergeCell ref="A51:E51"/>
    <mergeCell ref="H12:Z12"/>
    <mergeCell ref="U14:Z14"/>
    <mergeCell ref="A81:E81"/>
    <mergeCell ref="A1:Z1"/>
    <mergeCell ref="H11:Z11"/>
    <mergeCell ref="A10:G10"/>
    <mergeCell ref="A11:G11"/>
    <mergeCell ref="H9:Z9"/>
    <mergeCell ref="H10:Z10"/>
    <mergeCell ref="D2:Z2"/>
    <mergeCell ref="D3:Z3"/>
    <mergeCell ref="D4:Z4"/>
    <mergeCell ref="D5:Z5"/>
    <mergeCell ref="D6:Z6"/>
    <mergeCell ref="D7:Z7"/>
    <mergeCell ref="D8:Z8"/>
    <mergeCell ref="A9:G9"/>
  </mergeCells>
  <phoneticPr fontId="0"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07"/>
  <sheetViews>
    <sheetView showGridLines="0" zoomScaleNormal="100" workbookViewId="0">
      <selection activeCell="M54" sqref="M54"/>
    </sheetView>
  </sheetViews>
  <sheetFormatPr defaultColWidth="9.140625" defaultRowHeight="12.75" x14ac:dyDescent="0.2"/>
  <cols>
    <col min="1" max="1" width="3.7109375" style="348" customWidth="1"/>
    <col min="2" max="2" width="4" style="348" customWidth="1"/>
    <col min="3" max="4" width="16.7109375" style="348" customWidth="1"/>
    <col min="5" max="5" width="8.7109375" style="348" customWidth="1"/>
    <col min="6" max="6" width="9.85546875" style="348" customWidth="1"/>
    <col min="7" max="7" width="8.7109375" style="348" customWidth="1"/>
    <col min="8" max="8" width="13.7109375" style="348" customWidth="1"/>
    <col min="9" max="9" width="5.7109375" style="348" customWidth="1"/>
    <col min="10" max="10" width="10.28515625" style="348" bestFit="1" customWidth="1"/>
    <col min="11" max="11" width="3.7109375" style="348" customWidth="1"/>
    <col min="12" max="12" width="5.7109375" style="348" customWidth="1"/>
    <col min="13" max="13" width="20.140625" style="349" customWidth="1"/>
    <col min="14" max="15" width="7.7109375" style="349" customWidth="1"/>
    <col min="16" max="18" width="7.7109375" style="348" customWidth="1"/>
    <col min="19" max="19" width="9.140625" style="348" customWidth="1"/>
    <col min="20" max="20" width="11.7109375" style="348" customWidth="1"/>
    <col min="21" max="21" width="7.140625" style="348" customWidth="1"/>
    <col min="22" max="16384" width="9.140625" style="348"/>
  </cols>
  <sheetData>
    <row r="2" spans="2:25" ht="15.75" x14ac:dyDescent="0.2">
      <c r="B2" s="591" t="str">
        <f>'Machinery(Heirloom)'!C16&amp;" Heirloom Corn, Per Acre Costs and Returns"</f>
        <v>No-Till Heirloom Corn, Per Acre Costs and Returns</v>
      </c>
      <c r="C2" s="592"/>
      <c r="D2" s="592"/>
      <c r="E2" s="592"/>
      <c r="F2" s="592"/>
      <c r="G2" s="592"/>
      <c r="H2" s="592"/>
      <c r="I2" s="592"/>
      <c r="J2" s="592"/>
      <c r="L2" s="348" t="s">
        <v>75</v>
      </c>
    </row>
    <row r="3" spans="2:25" ht="5.25" customHeight="1" x14ac:dyDescent="0.2">
      <c r="B3" s="578"/>
      <c r="C3" s="579"/>
      <c r="D3" s="579"/>
      <c r="E3" s="579"/>
      <c r="F3" s="579"/>
      <c r="G3" s="579"/>
      <c r="H3" s="579"/>
      <c r="I3" s="579"/>
      <c r="J3" s="580"/>
    </row>
    <row r="4" spans="2:25" s="350" customFormat="1" ht="12.95" customHeight="1" x14ac:dyDescent="0.2">
      <c r="B4" s="598"/>
      <c r="C4" s="599"/>
      <c r="D4" s="600"/>
      <c r="E4" s="143" t="s">
        <v>137</v>
      </c>
      <c r="F4" s="143" t="s">
        <v>52</v>
      </c>
      <c r="G4" s="143" t="s">
        <v>53</v>
      </c>
      <c r="H4" s="593"/>
      <c r="I4" s="594"/>
      <c r="J4" s="143" t="s">
        <v>5</v>
      </c>
    </row>
    <row r="5" spans="2:25" ht="12.95" customHeight="1" x14ac:dyDescent="0.2">
      <c r="B5" s="351" t="s">
        <v>54</v>
      </c>
      <c r="C5" s="351"/>
      <c r="D5" s="352"/>
      <c r="E5" s="572"/>
      <c r="F5" s="573"/>
      <c r="G5" s="573"/>
      <c r="H5" s="573"/>
      <c r="I5" s="573"/>
      <c r="J5" s="574"/>
    </row>
    <row r="6" spans="2:25" ht="12.95" customHeight="1" x14ac:dyDescent="0.2">
      <c r="B6" s="353"/>
      <c r="C6" s="543" t="s">
        <v>34</v>
      </c>
      <c r="D6" s="549"/>
      <c r="E6" s="233">
        <v>85</v>
      </c>
      <c r="F6" s="353" t="s">
        <v>55</v>
      </c>
      <c r="G6" s="234">
        <v>7</v>
      </c>
      <c r="H6" s="540"/>
      <c r="I6" s="540"/>
      <c r="J6" s="355">
        <f>E6*G6</f>
        <v>595</v>
      </c>
    </row>
    <row r="7" spans="2:25" ht="12.95" customHeight="1" x14ac:dyDescent="0.2">
      <c r="B7" s="353"/>
      <c r="C7" s="553" t="s">
        <v>168</v>
      </c>
      <c r="D7" s="597"/>
      <c r="E7" s="353">
        <v>1</v>
      </c>
      <c r="F7" s="353" t="s">
        <v>60</v>
      </c>
      <c r="G7" s="234">
        <v>0</v>
      </c>
      <c r="H7" s="595"/>
      <c r="I7" s="596"/>
      <c r="J7" s="356">
        <f>E7*G7</f>
        <v>0</v>
      </c>
    </row>
    <row r="8" spans="2:25" ht="12.95" customHeight="1" x14ac:dyDescent="0.2">
      <c r="B8" s="353"/>
      <c r="C8" s="553" t="s">
        <v>167</v>
      </c>
      <c r="D8" s="597"/>
      <c r="E8" s="353">
        <v>1</v>
      </c>
      <c r="F8" s="353" t="s">
        <v>60</v>
      </c>
      <c r="G8" s="234">
        <v>5</v>
      </c>
      <c r="H8" s="595"/>
      <c r="I8" s="596"/>
      <c r="J8" s="357">
        <f>E8*G8</f>
        <v>5</v>
      </c>
    </row>
    <row r="9" spans="2:25" ht="12.95" customHeight="1" x14ac:dyDescent="0.2">
      <c r="B9" s="550" t="s">
        <v>74</v>
      </c>
      <c r="C9" s="551"/>
      <c r="D9" s="552"/>
      <c r="E9" s="353"/>
      <c r="F9" s="353"/>
      <c r="G9" s="354"/>
      <c r="H9" s="540"/>
      <c r="I9" s="540"/>
      <c r="J9" s="358">
        <f>SUM(J6:J8)</f>
        <v>600</v>
      </c>
      <c r="L9" s="359"/>
      <c r="M9" s="360"/>
      <c r="N9" s="360"/>
      <c r="O9" s="360"/>
      <c r="P9" s="360"/>
      <c r="Q9" s="360"/>
      <c r="R9" s="360"/>
    </row>
    <row r="10" spans="2:25" ht="4.5" customHeight="1" x14ac:dyDescent="0.2">
      <c r="B10" s="578"/>
      <c r="C10" s="579"/>
      <c r="D10" s="579"/>
      <c r="E10" s="579"/>
      <c r="F10" s="579"/>
      <c r="G10" s="579"/>
      <c r="H10" s="579"/>
      <c r="I10" s="579"/>
      <c r="J10" s="580"/>
      <c r="L10" s="359"/>
      <c r="M10" s="360"/>
      <c r="N10" s="360"/>
      <c r="O10" s="360"/>
      <c r="P10" s="359"/>
      <c r="Q10" s="359"/>
      <c r="R10" s="359"/>
    </row>
    <row r="11" spans="2:25" ht="12.95" customHeight="1" x14ac:dyDescent="0.2">
      <c r="B11" s="550" t="s">
        <v>56</v>
      </c>
      <c r="C11" s="551"/>
      <c r="D11" s="552"/>
      <c r="E11" s="572"/>
      <c r="F11" s="573"/>
      <c r="G11" s="573"/>
      <c r="H11" s="573"/>
      <c r="I11" s="573"/>
      <c r="J11" s="574"/>
      <c r="K11" s="359"/>
      <c r="L11" s="534" t="s">
        <v>396</v>
      </c>
      <c r="M11" s="535"/>
      <c r="N11" s="533" t="s">
        <v>195</v>
      </c>
      <c r="O11" s="533" t="s">
        <v>266</v>
      </c>
      <c r="P11" s="533" t="s">
        <v>267</v>
      </c>
      <c r="Q11" s="533" t="s">
        <v>315</v>
      </c>
      <c r="R11" s="533" t="s">
        <v>314</v>
      </c>
      <c r="S11" s="533" t="str">
        <f>M14&amp;" Adjusted"</f>
        <v>DAP Adjusted</v>
      </c>
      <c r="T11" s="533" t="s">
        <v>324</v>
      </c>
      <c r="U11" s="539"/>
      <c r="V11" s="538"/>
      <c r="W11" s="359"/>
    </row>
    <row r="12" spans="2:25" ht="12.95" customHeight="1" thickBot="1" x14ac:dyDescent="0.25">
      <c r="B12" s="353"/>
      <c r="C12" s="543" t="s">
        <v>57</v>
      </c>
      <c r="D12" s="549"/>
      <c r="E12" s="242">
        <v>0.23</v>
      </c>
      <c r="F12" s="353" t="s">
        <v>58</v>
      </c>
      <c r="G12" s="234">
        <v>250</v>
      </c>
      <c r="H12" s="540"/>
      <c r="I12" s="540"/>
      <c r="J12" s="355">
        <f t="shared" ref="J12:J34" si="0">E12*G12</f>
        <v>57.5</v>
      </c>
      <c r="K12" s="361"/>
      <c r="L12" s="536"/>
      <c r="M12" s="537"/>
      <c r="N12" s="533"/>
      <c r="O12" s="533"/>
      <c r="P12" s="533"/>
      <c r="Q12" s="533"/>
      <c r="R12" s="533"/>
      <c r="S12" s="533"/>
      <c r="T12" s="533"/>
      <c r="U12" s="539"/>
      <c r="V12" s="538"/>
      <c r="W12" s="360"/>
      <c r="X12" s="349"/>
      <c r="Y12" s="349"/>
    </row>
    <row r="13" spans="2:25" ht="12.95" customHeight="1" thickBot="1" x14ac:dyDescent="0.25">
      <c r="B13" s="353"/>
      <c r="C13" s="601" t="s">
        <v>145</v>
      </c>
      <c r="D13" s="601"/>
      <c r="E13" s="233">
        <v>100</v>
      </c>
      <c r="F13" s="362" t="s">
        <v>166</v>
      </c>
      <c r="G13" s="234">
        <v>0.4</v>
      </c>
      <c r="H13" s="604" t="s">
        <v>348</v>
      </c>
      <c r="I13" s="605"/>
      <c r="J13" s="355">
        <f t="shared" si="0"/>
        <v>40</v>
      </c>
      <c r="K13" s="361"/>
      <c r="L13" s="363" t="s">
        <v>90</v>
      </c>
      <c r="M13" s="416" t="s">
        <v>197</v>
      </c>
      <c r="N13" s="364" t="str">
        <f>IF(M13=M74,R74,IF(M13=M75,R75,IF(M13=M76,R76,R77)))</f>
        <v>46-0-0</v>
      </c>
      <c r="O13" s="417">
        <v>360</v>
      </c>
      <c r="P13" s="365">
        <f>IF(M13=M74,O13/(2000*N74),IF(M13=M75,O13/(2000*N75),IF(M13=M76,O13/(2000*N76),O13/(2000*N77))))</f>
        <v>0.39130434782608697</v>
      </c>
      <c r="Q13" s="418">
        <v>325</v>
      </c>
      <c r="R13" s="366">
        <f>IF(M13=M74,Q13*N74,IF(M13=M75,Q13*N75,IF(M13=M76,Q13*N76,Q13*N77)))</f>
        <v>149.5</v>
      </c>
      <c r="S13" s="366">
        <f>IF(M14=M82,Q14*N82,IF(M14=M83,Q14*N83,Q14*N84))</f>
        <v>22.5</v>
      </c>
      <c r="T13" s="367">
        <f>SUM(R13:S13)</f>
        <v>172</v>
      </c>
      <c r="U13" s="368"/>
      <c r="V13" s="146"/>
      <c r="W13" s="360"/>
      <c r="X13" s="349"/>
      <c r="Y13" s="349"/>
    </row>
    <row r="14" spans="2:25" ht="12.95" customHeight="1" thickBot="1" x14ac:dyDescent="0.25">
      <c r="B14" s="353"/>
      <c r="C14" s="601" t="s">
        <v>111</v>
      </c>
      <c r="D14" s="601"/>
      <c r="E14" s="233">
        <v>40</v>
      </c>
      <c r="F14" s="362" t="s">
        <v>166</v>
      </c>
      <c r="G14" s="234">
        <v>0.3</v>
      </c>
      <c r="H14" s="606"/>
      <c r="I14" s="607"/>
      <c r="J14" s="355">
        <f>E14*G14</f>
        <v>12</v>
      </c>
      <c r="K14" s="361"/>
      <c r="L14" s="363" t="s">
        <v>326</v>
      </c>
      <c r="M14" s="416" t="s">
        <v>212</v>
      </c>
      <c r="N14" s="369" t="str">
        <f>IF(M14=M82,R82,IF(M14=M83,R83,R84))</f>
        <v>18-46-0</v>
      </c>
      <c r="O14" s="417">
        <v>415</v>
      </c>
      <c r="P14" s="370">
        <f>IF(M14=M82,(O14-2000*N82*P13)/(2000*P82),IF(M14=M83,(O14-2000*N83*P13)/(2000*P83),(O14-2000*N84*P13)/(2000*P84)))</f>
        <v>0.29796786389413987</v>
      </c>
      <c r="Q14" s="418">
        <v>125</v>
      </c>
      <c r="R14" s="371">
        <f>IF(M14=M82,Q14*P82,IF(M14=M83,Q14*P83,Q14*P84))</f>
        <v>57.5</v>
      </c>
      <c r="S14" s="371" t="s">
        <v>288</v>
      </c>
      <c r="T14" s="367">
        <f t="shared" ref="T14:T15" si="1">SUM(R14:S14)</f>
        <v>57.5</v>
      </c>
      <c r="U14" s="372"/>
      <c r="V14" s="372"/>
      <c r="W14" s="359"/>
    </row>
    <row r="15" spans="2:25" ht="12.95" customHeight="1" thickBot="1" x14ac:dyDescent="0.25">
      <c r="B15" s="353"/>
      <c r="C15" s="601" t="s">
        <v>112</v>
      </c>
      <c r="D15" s="601"/>
      <c r="E15" s="233">
        <v>40</v>
      </c>
      <c r="F15" s="362" t="s">
        <v>166</v>
      </c>
      <c r="G15" s="234">
        <v>0.3</v>
      </c>
      <c r="H15" s="608"/>
      <c r="I15" s="609"/>
      <c r="J15" s="355">
        <f t="shared" si="0"/>
        <v>12</v>
      </c>
      <c r="K15" s="361"/>
      <c r="L15" s="363" t="s">
        <v>327</v>
      </c>
      <c r="M15" s="416" t="s">
        <v>220</v>
      </c>
      <c r="N15" s="364" t="str">
        <f>IF(M15=M79,R79,R80)</f>
        <v>0-0-60</v>
      </c>
      <c r="O15" s="417">
        <v>330</v>
      </c>
      <c r="P15" s="365">
        <f>IF(M15=M79,O15/(2000*O79),O15/(2000*O80))</f>
        <v>0.27500000000000002</v>
      </c>
      <c r="Q15" s="418">
        <v>90</v>
      </c>
      <c r="R15" s="366">
        <f>IF(M15=M79,Q15*O79,Q15*O80)</f>
        <v>54</v>
      </c>
      <c r="S15" s="366" t="s">
        <v>288</v>
      </c>
      <c r="T15" s="367">
        <f t="shared" si="1"/>
        <v>54</v>
      </c>
      <c r="U15" s="372"/>
      <c r="V15" s="372"/>
      <c r="W15" s="359"/>
    </row>
    <row r="16" spans="2:25" ht="12.95" customHeight="1" x14ac:dyDescent="0.2">
      <c r="B16" s="353"/>
      <c r="C16" s="543" t="s">
        <v>97</v>
      </c>
      <c r="D16" s="549"/>
      <c r="E16" s="233">
        <v>0</v>
      </c>
      <c r="F16" s="362" t="s">
        <v>325</v>
      </c>
      <c r="G16" s="234">
        <v>0</v>
      </c>
      <c r="H16" s="373"/>
      <c r="I16" s="374"/>
      <c r="J16" s="355">
        <f>E16*G16</f>
        <v>0</v>
      </c>
      <c r="L16" s="245" t="s">
        <v>268</v>
      </c>
      <c r="M16" s="368"/>
      <c r="N16" s="375"/>
      <c r="O16" s="376"/>
      <c r="P16" s="377"/>
      <c r="Q16" s="377"/>
      <c r="R16" s="377"/>
      <c r="S16" s="377"/>
      <c r="T16" s="378"/>
      <c r="U16" s="378"/>
      <c r="V16" s="359"/>
    </row>
    <row r="17" spans="2:25" ht="12.95" customHeight="1" x14ac:dyDescent="0.2">
      <c r="B17" s="353"/>
      <c r="C17" s="543" t="s">
        <v>87</v>
      </c>
      <c r="D17" s="549"/>
      <c r="E17" s="246">
        <v>0.7</v>
      </c>
      <c r="F17" s="362" t="s">
        <v>316</v>
      </c>
      <c r="G17" s="234">
        <v>20</v>
      </c>
      <c r="H17" s="540"/>
      <c r="I17" s="540"/>
      <c r="J17" s="355">
        <f t="shared" si="0"/>
        <v>14</v>
      </c>
      <c r="K17" s="349"/>
      <c r="L17" s="245" t="str">
        <f>"The value of the Nitrogen in the "&amp;M14&amp; " fertilizer is being subtracted and added into the N Adjusted Units/Acre."</f>
        <v>The value of the Nitrogen in the DAP fertilizer is being subtracted and added into the N Adjusted Units/Acre.</v>
      </c>
      <c r="T17" s="359"/>
      <c r="U17" s="359"/>
      <c r="V17" s="359"/>
    </row>
    <row r="18" spans="2:25" ht="12.95" customHeight="1" x14ac:dyDescent="0.2">
      <c r="B18" s="353"/>
      <c r="C18" s="543" t="s">
        <v>59</v>
      </c>
      <c r="D18" s="549"/>
      <c r="E18" s="353">
        <v>1</v>
      </c>
      <c r="F18" s="353" t="s">
        <v>60</v>
      </c>
      <c r="G18" s="234">
        <v>80</v>
      </c>
      <c r="H18" s="540"/>
      <c r="I18" s="540"/>
      <c r="J18" s="355">
        <f t="shared" si="0"/>
        <v>80</v>
      </c>
      <c r="K18" s="349"/>
      <c r="L18" s="379"/>
    </row>
    <row r="19" spans="2:25" ht="12.95" customHeight="1" x14ac:dyDescent="0.2">
      <c r="B19" s="353"/>
      <c r="C19" s="543" t="s">
        <v>151</v>
      </c>
      <c r="D19" s="549"/>
      <c r="E19" s="353">
        <v>1</v>
      </c>
      <c r="F19" s="353" t="s">
        <v>60</v>
      </c>
      <c r="G19" s="234">
        <v>0</v>
      </c>
      <c r="H19" s="540"/>
      <c r="I19" s="540"/>
      <c r="J19" s="355">
        <f t="shared" si="0"/>
        <v>0</v>
      </c>
      <c r="K19" s="349"/>
      <c r="L19" s="349"/>
    </row>
    <row r="20" spans="2:25" ht="12.95" customHeight="1" thickBot="1" x14ac:dyDescent="0.25">
      <c r="B20" s="353"/>
      <c r="C20" s="553" t="s">
        <v>152</v>
      </c>
      <c r="D20" s="597"/>
      <c r="E20" s="353">
        <v>1</v>
      </c>
      <c r="F20" s="353" t="s">
        <v>60</v>
      </c>
      <c r="G20" s="234">
        <v>0</v>
      </c>
      <c r="H20" s="602"/>
      <c r="I20" s="603"/>
      <c r="J20" s="355">
        <f>E20*G20</f>
        <v>0</v>
      </c>
      <c r="K20" s="349"/>
      <c r="L20" s="379"/>
      <c r="M20" s="360"/>
      <c r="N20" s="360"/>
      <c r="O20" s="360"/>
      <c r="P20" s="349"/>
      <c r="Q20" s="349"/>
    </row>
    <row r="21" spans="2:25" ht="12.95" customHeight="1" x14ac:dyDescent="0.2">
      <c r="B21" s="353"/>
      <c r="C21" s="556" t="s">
        <v>86</v>
      </c>
      <c r="D21" s="558"/>
      <c r="E21" s="380">
        <v>1</v>
      </c>
      <c r="F21" s="380" t="s">
        <v>60</v>
      </c>
      <c r="G21" s="249">
        <v>0</v>
      </c>
      <c r="H21" s="568" t="s">
        <v>129</v>
      </c>
      <c r="I21" s="565" t="s">
        <v>51</v>
      </c>
      <c r="J21" s="381">
        <f>IF(I21=D61,'Machinery Calc (Heirloom)'!U74,G21)</f>
        <v>13.827764904609776</v>
      </c>
      <c r="L21" s="379"/>
      <c r="M21" s="379"/>
      <c r="N21" s="379"/>
      <c r="O21" s="379"/>
      <c r="P21" s="349"/>
      <c r="Q21" s="349"/>
      <c r="R21" s="349"/>
      <c r="S21" s="349"/>
      <c r="T21" s="349"/>
      <c r="U21" s="349"/>
      <c r="V21" s="349"/>
      <c r="W21" s="349"/>
    </row>
    <row r="22" spans="2:25" ht="12.95" customHeight="1" x14ac:dyDescent="0.2">
      <c r="B22" s="353"/>
      <c r="C22" s="556" t="s">
        <v>8</v>
      </c>
      <c r="D22" s="558"/>
      <c r="E22" s="380">
        <v>1</v>
      </c>
      <c r="F22" s="380" t="s">
        <v>60</v>
      </c>
      <c r="G22" s="249">
        <v>0</v>
      </c>
      <c r="H22" s="569"/>
      <c r="I22" s="566"/>
      <c r="J22" s="381">
        <f>IF(I21=D61,'Machinery Calc (Heirloom)'!X74,G22)</f>
        <v>27.348730214959161</v>
      </c>
      <c r="L22" s="382"/>
      <c r="M22" s="383"/>
      <c r="N22" s="360"/>
      <c r="O22" s="360"/>
      <c r="P22" s="349"/>
      <c r="Q22" s="349"/>
      <c r="R22" s="360"/>
      <c r="S22" s="349"/>
      <c r="T22" s="349"/>
      <c r="U22" s="349"/>
      <c r="V22" s="349"/>
      <c r="W22" s="349"/>
    </row>
    <row r="23" spans="2:25" ht="12.95" customHeight="1" x14ac:dyDescent="0.2">
      <c r="B23" s="353"/>
      <c r="C23" s="556" t="s">
        <v>71</v>
      </c>
      <c r="D23" s="558"/>
      <c r="E23" s="380">
        <v>1</v>
      </c>
      <c r="F23" s="380" t="s">
        <v>60</v>
      </c>
      <c r="G23" s="249">
        <v>0</v>
      </c>
      <c r="H23" s="569"/>
      <c r="I23" s="566"/>
      <c r="J23" s="381">
        <f>IF(I21=D61,'Machinery Calc (Heirloom)'!W74,G23)</f>
        <v>0</v>
      </c>
      <c r="L23" s="383"/>
      <c r="M23" s="383"/>
      <c r="N23" s="360"/>
      <c r="O23" s="360"/>
    </row>
    <row r="24" spans="2:25" ht="12.95" customHeight="1" x14ac:dyDescent="0.2">
      <c r="B24" s="353"/>
      <c r="C24" s="556" t="s">
        <v>113</v>
      </c>
      <c r="D24" s="558"/>
      <c r="E24" s="380">
        <v>1</v>
      </c>
      <c r="F24" s="380" t="s">
        <v>60</v>
      </c>
      <c r="G24" s="249">
        <v>0</v>
      </c>
      <c r="H24" s="569"/>
      <c r="I24" s="566"/>
      <c r="J24" s="381">
        <f>IF(I21=D61,(IF('Machinery Calc (Heirloom)'!B5='Machinery(Heirloom)'!B49,'Machinery Calc (Heirloom)'!V74,0)),G24)</f>
        <v>26.475557062697341</v>
      </c>
      <c r="K24" s="384"/>
      <c r="L24" s="383"/>
      <c r="M24" s="360"/>
      <c r="N24" s="360"/>
      <c r="O24" s="360"/>
    </row>
    <row r="25" spans="2:25" ht="12.95" customHeight="1" thickBot="1" x14ac:dyDescent="0.25">
      <c r="B25" s="353"/>
      <c r="C25" s="556" t="s">
        <v>50</v>
      </c>
      <c r="D25" s="557"/>
      <c r="E25" s="380">
        <v>1</v>
      </c>
      <c r="F25" s="380" t="s">
        <v>60</v>
      </c>
      <c r="G25" s="249">
        <v>0</v>
      </c>
      <c r="H25" s="570"/>
      <c r="I25" s="567"/>
      <c r="J25" s="381">
        <f>IF(I21=D61,'Machinery Calc (Heirloom)'!Z74,E25*G25)</f>
        <v>0</v>
      </c>
      <c r="K25" s="348" t="s">
        <v>75</v>
      </c>
      <c r="L25" s="379"/>
      <c r="M25" s="360"/>
      <c r="N25" s="360"/>
      <c r="O25" s="360"/>
      <c r="S25" s="349"/>
    </row>
    <row r="26" spans="2:25" ht="12.95" customHeight="1" thickBot="1" x14ac:dyDescent="0.25">
      <c r="B26" s="353"/>
      <c r="C26" s="385" t="s">
        <v>241</v>
      </c>
      <c r="D26" s="419" t="s">
        <v>222</v>
      </c>
      <c r="E26" s="386">
        <v>1</v>
      </c>
      <c r="F26" s="362" t="s">
        <v>55</v>
      </c>
      <c r="G26" s="254">
        <v>0.25</v>
      </c>
      <c r="H26" s="564" t="s">
        <v>274</v>
      </c>
      <c r="I26" s="562">
        <v>75</v>
      </c>
      <c r="J26" s="355" t="str">
        <f>IF(I21=D60,E6*G26,IF(D26=C70,E6*G26,""))</f>
        <v/>
      </c>
      <c r="K26" s="384"/>
      <c r="L26" s="387" t="s">
        <v>321</v>
      </c>
      <c r="M26" s="360"/>
      <c r="N26" s="360"/>
      <c r="O26" s="360"/>
      <c r="S26" s="349"/>
    </row>
    <row r="27" spans="2:25" ht="12.95" customHeight="1" thickBot="1" x14ac:dyDescent="0.25">
      <c r="B27" s="388"/>
      <c r="C27" s="560" t="s">
        <v>244</v>
      </c>
      <c r="D27" s="561"/>
      <c r="E27" s="386">
        <v>1</v>
      </c>
      <c r="F27" s="362" t="s">
        <v>55</v>
      </c>
      <c r="G27" s="389">
        <f>'Machinery Calc (Heirloom)'!AA81/E6</f>
        <v>0.26004073480534229</v>
      </c>
      <c r="H27" s="564"/>
      <c r="I27" s="563"/>
      <c r="J27" s="355" t="str">
        <f>IF(I21=D60,"",IF(D26=C71,IF(C27=C85,E6*G27,""),""))</f>
        <v/>
      </c>
      <c r="K27" s="384"/>
      <c r="L27" s="390" t="s">
        <v>287</v>
      </c>
      <c r="M27" s="360"/>
      <c r="N27" s="360"/>
      <c r="O27" s="360"/>
    </row>
    <row r="28" spans="2:25" ht="12.95" customHeight="1" x14ac:dyDescent="0.2">
      <c r="B28" s="353"/>
      <c r="C28" s="555" t="s">
        <v>77</v>
      </c>
      <c r="D28" s="545"/>
      <c r="E28" s="353">
        <v>1</v>
      </c>
      <c r="F28" s="353" t="s">
        <v>60</v>
      </c>
      <c r="G28" s="234">
        <v>0</v>
      </c>
      <c r="H28" s="541"/>
      <c r="I28" s="542"/>
      <c r="J28" s="355">
        <f>E28*G28</f>
        <v>0</v>
      </c>
      <c r="K28" s="348" t="s">
        <v>75</v>
      </c>
      <c r="L28" s="379"/>
      <c r="M28" s="360"/>
      <c r="N28" s="360"/>
      <c r="O28" s="360"/>
    </row>
    <row r="29" spans="2:25" ht="12.95" customHeight="1" thickBot="1" x14ac:dyDescent="0.25">
      <c r="B29" s="353"/>
      <c r="C29" s="543" t="s">
        <v>158</v>
      </c>
      <c r="D29" s="544"/>
      <c r="E29" s="353">
        <v>1</v>
      </c>
      <c r="F29" s="353" t="s">
        <v>85</v>
      </c>
      <c r="G29" s="234">
        <v>1.25</v>
      </c>
      <c r="H29" s="391" t="s">
        <v>123</v>
      </c>
      <c r="I29" s="259">
        <v>3</v>
      </c>
      <c r="J29" s="355">
        <f>(G29/54.5+0.005)*E6*I29</f>
        <v>7.1236238532110097</v>
      </c>
      <c r="K29" s="392"/>
      <c r="L29" s="360"/>
      <c r="M29" s="360"/>
      <c r="N29" s="360"/>
      <c r="O29" s="360"/>
    </row>
    <row r="30" spans="2:25" ht="12.95" customHeight="1" thickBot="1" x14ac:dyDescent="0.25">
      <c r="B30" s="353"/>
      <c r="C30" s="393" t="s">
        <v>224</v>
      </c>
      <c r="D30" s="419" t="s">
        <v>238</v>
      </c>
      <c r="E30" s="394">
        <f>E6*I30</f>
        <v>42.5</v>
      </c>
      <c r="F30" s="362" t="s">
        <v>55</v>
      </c>
      <c r="G30" s="234">
        <v>0.2</v>
      </c>
      <c r="H30" s="391" t="s">
        <v>225</v>
      </c>
      <c r="I30" s="261">
        <v>0.5</v>
      </c>
      <c r="J30" s="355">
        <f>IF(D30=C66,E30*G30,'Storage(All)'!C22)</f>
        <v>8.5</v>
      </c>
      <c r="K30" s="392"/>
      <c r="L30" s="395" t="s">
        <v>248</v>
      </c>
      <c r="M30" s="396"/>
      <c r="N30" s="396"/>
      <c r="O30" s="397"/>
      <c r="P30" s="349"/>
      <c r="Q30" s="349"/>
      <c r="R30" s="349"/>
      <c r="S30" s="349"/>
      <c r="T30" s="349"/>
      <c r="U30" s="349"/>
      <c r="V30" s="349"/>
      <c r="W30" s="349"/>
      <c r="X30" s="349"/>
      <c r="Y30" s="349"/>
    </row>
    <row r="31" spans="2:25" ht="12.95" customHeight="1" thickBot="1" x14ac:dyDescent="0.25">
      <c r="B31" s="353"/>
      <c r="C31" s="553" t="s">
        <v>155</v>
      </c>
      <c r="D31" s="554"/>
      <c r="E31" s="353">
        <v>1</v>
      </c>
      <c r="F31" s="353" t="s">
        <v>60</v>
      </c>
      <c r="G31" s="234">
        <v>20</v>
      </c>
      <c r="H31" s="548"/>
      <c r="I31" s="548"/>
      <c r="J31" s="355">
        <f t="shared" si="0"/>
        <v>20</v>
      </c>
      <c r="L31" s="359"/>
      <c r="M31" s="360"/>
      <c r="N31" s="360"/>
      <c r="O31" s="360"/>
      <c r="P31" s="349"/>
      <c r="Q31" s="349"/>
      <c r="R31" s="349"/>
      <c r="S31" s="349"/>
      <c r="T31" s="349"/>
      <c r="U31" s="349"/>
      <c r="V31" s="349"/>
      <c r="W31" s="349"/>
      <c r="X31" s="349"/>
      <c r="Y31" s="349"/>
    </row>
    <row r="32" spans="2:25" ht="12.95" customHeight="1" thickBot="1" x14ac:dyDescent="0.25">
      <c r="B32" s="353"/>
      <c r="C32" s="393" t="s">
        <v>344</v>
      </c>
      <c r="D32" s="419" t="s">
        <v>252</v>
      </c>
      <c r="E32" s="386">
        <v>1</v>
      </c>
      <c r="F32" s="362" t="s">
        <v>60</v>
      </c>
      <c r="G32" s="234">
        <v>140</v>
      </c>
      <c r="H32" s="391" t="s">
        <v>240</v>
      </c>
      <c r="I32" s="261">
        <v>0.25</v>
      </c>
      <c r="J32" s="355">
        <f>IF(D32=C80,E32*G32,J6*I32)</f>
        <v>140</v>
      </c>
      <c r="L32" s="245" t="s">
        <v>247</v>
      </c>
      <c r="M32" s="396"/>
      <c r="N32" s="396"/>
      <c r="O32" s="397"/>
      <c r="P32" s="349"/>
      <c r="Q32" s="349"/>
      <c r="R32" s="349"/>
      <c r="S32" s="349"/>
      <c r="T32" s="349"/>
      <c r="U32" s="349"/>
      <c r="V32" s="349"/>
      <c r="W32" s="349"/>
      <c r="X32" s="349"/>
      <c r="Y32" s="349"/>
    </row>
    <row r="33" spans="2:25" ht="12.95" customHeight="1" x14ac:dyDescent="0.2">
      <c r="B33" s="353"/>
      <c r="C33" s="543" t="s">
        <v>349</v>
      </c>
      <c r="D33" s="545"/>
      <c r="E33" s="353">
        <v>1</v>
      </c>
      <c r="F33" s="362" t="s">
        <v>60</v>
      </c>
      <c r="G33" s="234">
        <v>0</v>
      </c>
      <c r="H33" s="546"/>
      <c r="I33" s="547"/>
      <c r="J33" s="355">
        <f>E33*G33</f>
        <v>0</v>
      </c>
      <c r="L33" s="245"/>
      <c r="M33" s="396"/>
      <c r="N33" s="396"/>
      <c r="O33" s="397"/>
      <c r="P33" s="349"/>
      <c r="Q33" s="349"/>
      <c r="R33" s="349"/>
      <c r="S33" s="349"/>
      <c r="T33" s="349"/>
      <c r="U33" s="349"/>
      <c r="V33" s="349"/>
      <c r="W33" s="349"/>
      <c r="X33" s="349"/>
      <c r="Y33" s="349"/>
    </row>
    <row r="34" spans="2:25" ht="12.95" customHeight="1" x14ac:dyDescent="0.2">
      <c r="B34" s="353"/>
      <c r="C34" s="543" t="s">
        <v>160</v>
      </c>
      <c r="D34" s="549"/>
      <c r="E34" s="353">
        <v>1</v>
      </c>
      <c r="F34" s="353" t="s">
        <v>60</v>
      </c>
      <c r="G34" s="234">
        <v>10</v>
      </c>
      <c r="H34" s="559"/>
      <c r="I34" s="559"/>
      <c r="J34" s="355">
        <f t="shared" si="0"/>
        <v>10</v>
      </c>
    </row>
    <row r="35" spans="2:25" ht="12.95" customHeight="1" x14ac:dyDescent="0.2">
      <c r="B35" s="353"/>
      <c r="C35" s="543" t="s">
        <v>61</v>
      </c>
      <c r="D35" s="549"/>
      <c r="E35" s="398">
        <f>SUM(J12:J34)-J29-J30-(SUM('Machinery Calc (Heirloom)'!U47:U51,'Machinery Calc (Heirloom)'!V47:V51,'Machinery Calc (Heirloom)'!W47:W51,'Machinery Calc (Heirloom)'!X47:X51,'Machinery Calc (Heirloom)'!Z47:Z51))</f>
        <v>419.7661037663346</v>
      </c>
      <c r="F35" s="353" t="s">
        <v>62</v>
      </c>
      <c r="G35" s="265">
        <v>0.06</v>
      </c>
      <c r="H35" s="391" t="s">
        <v>81</v>
      </c>
      <c r="I35" s="266">
        <v>6</v>
      </c>
      <c r="J35" s="357">
        <f>E35*G35*(I35/12)</f>
        <v>12.592983112990037</v>
      </c>
    </row>
    <row r="36" spans="2:25" ht="12.95" customHeight="1" x14ac:dyDescent="0.2">
      <c r="B36" s="550" t="s">
        <v>63</v>
      </c>
      <c r="C36" s="551"/>
      <c r="D36" s="552"/>
      <c r="E36" s="353"/>
      <c r="F36" s="353"/>
      <c r="G36" s="353"/>
      <c r="H36" s="540"/>
      <c r="I36" s="540"/>
      <c r="J36" s="358">
        <f>SUM(J12:J35)</f>
        <v>481.36865914846737</v>
      </c>
    </row>
    <row r="37" spans="2:25" ht="7.5" customHeight="1" x14ac:dyDescent="0.2">
      <c r="B37" s="578"/>
      <c r="C37" s="579"/>
      <c r="D37" s="579"/>
      <c r="E37" s="579"/>
      <c r="F37" s="579"/>
      <c r="G37" s="579"/>
      <c r="H37" s="579"/>
      <c r="I37" s="579"/>
      <c r="J37" s="580"/>
    </row>
    <row r="38" spans="2:25" ht="15.75" x14ac:dyDescent="0.2">
      <c r="B38" s="572" t="s">
        <v>64</v>
      </c>
      <c r="C38" s="573"/>
      <c r="D38" s="573"/>
      <c r="E38" s="573"/>
      <c r="F38" s="573"/>
      <c r="G38" s="573"/>
      <c r="H38" s="573"/>
      <c r="I38" s="574"/>
      <c r="J38" s="399">
        <f>J9-J36</f>
        <v>118.63134085153263</v>
      </c>
    </row>
    <row r="39" spans="2:25" ht="7.5" customHeight="1" x14ac:dyDescent="0.2">
      <c r="B39" s="578"/>
      <c r="C39" s="579"/>
      <c r="D39" s="579"/>
      <c r="E39" s="579"/>
      <c r="F39" s="579"/>
      <c r="G39" s="579"/>
      <c r="H39" s="579"/>
      <c r="I39" s="579"/>
      <c r="J39" s="580"/>
    </row>
    <row r="40" spans="2:25" ht="12.95" customHeight="1" x14ac:dyDescent="0.2">
      <c r="B40" s="550" t="s">
        <v>65</v>
      </c>
      <c r="C40" s="551"/>
      <c r="D40" s="552"/>
      <c r="E40" s="572"/>
      <c r="F40" s="573"/>
      <c r="G40" s="573"/>
      <c r="H40" s="573"/>
      <c r="I40" s="573"/>
      <c r="J40" s="574"/>
    </row>
    <row r="41" spans="2:25" ht="12.95" customHeight="1" x14ac:dyDescent="0.2">
      <c r="B41" s="353"/>
      <c r="C41" s="556" t="s">
        <v>114</v>
      </c>
      <c r="D41" s="558"/>
      <c r="E41" s="380">
        <v>1</v>
      </c>
      <c r="F41" s="380" t="s">
        <v>60</v>
      </c>
      <c r="G41" s="249">
        <v>0</v>
      </c>
      <c r="H41" s="568" t="s">
        <v>91</v>
      </c>
      <c r="I41" s="588"/>
      <c r="J41" s="400">
        <f>IF(I21=D61,IF('Machinery Calc (Heirloom)'!B5='Machinery(Heirloom)'!B49,0,'Machinery Calc (Heirloom)'!V74),G41)</f>
        <v>0</v>
      </c>
    </row>
    <row r="42" spans="2:25" ht="12.95" customHeight="1" x14ac:dyDescent="0.2">
      <c r="B42" s="353"/>
      <c r="C42" s="556" t="s">
        <v>72</v>
      </c>
      <c r="D42" s="558"/>
      <c r="E42" s="380">
        <v>1</v>
      </c>
      <c r="F42" s="380" t="s">
        <v>60</v>
      </c>
      <c r="G42" s="249">
        <v>0</v>
      </c>
      <c r="H42" s="589"/>
      <c r="I42" s="590"/>
      <c r="J42" s="400">
        <f>IF(I21=D61,'Machinery Calc (Heirloom)'!Y74,G42)</f>
        <v>55.52620983037162</v>
      </c>
    </row>
    <row r="43" spans="2:25" ht="12.95" customHeight="1" x14ac:dyDescent="0.2">
      <c r="B43" s="353"/>
      <c r="C43" s="543" t="s">
        <v>76</v>
      </c>
      <c r="D43" s="549"/>
      <c r="E43" s="353">
        <v>1</v>
      </c>
      <c r="F43" s="353" t="s">
        <v>60</v>
      </c>
      <c r="G43" s="234">
        <v>5</v>
      </c>
      <c r="H43" s="540"/>
      <c r="I43" s="540"/>
      <c r="J43" s="355">
        <f>E43*G43</f>
        <v>5</v>
      </c>
    </row>
    <row r="44" spans="2:25" ht="12.95" customHeight="1" x14ac:dyDescent="0.2">
      <c r="B44" s="353"/>
      <c r="C44" s="543" t="s">
        <v>159</v>
      </c>
      <c r="D44" s="549"/>
      <c r="E44" s="353">
        <v>1</v>
      </c>
      <c r="F44" s="353" t="s">
        <v>60</v>
      </c>
      <c r="G44" s="234">
        <v>10</v>
      </c>
      <c r="H44" s="540"/>
      <c r="I44" s="540"/>
      <c r="J44" s="357">
        <f>E44*G44</f>
        <v>10</v>
      </c>
    </row>
    <row r="45" spans="2:25" ht="15.75" x14ac:dyDescent="0.2">
      <c r="B45" s="572" t="s">
        <v>66</v>
      </c>
      <c r="C45" s="573"/>
      <c r="D45" s="573"/>
      <c r="E45" s="573"/>
      <c r="F45" s="573"/>
      <c r="G45" s="573"/>
      <c r="H45" s="573"/>
      <c r="I45" s="574"/>
      <c r="J45" s="399">
        <f>J38-(SUM(J41:J44))</f>
        <v>48.105131021161014</v>
      </c>
      <c r="K45" s="348" t="s">
        <v>75</v>
      </c>
    </row>
    <row r="46" spans="2:25" ht="12.95" customHeight="1" x14ac:dyDescent="0.2">
      <c r="B46" s="578"/>
      <c r="C46" s="579"/>
      <c r="D46" s="579"/>
      <c r="E46" s="579"/>
      <c r="F46" s="579"/>
      <c r="G46" s="579"/>
      <c r="H46" s="579"/>
      <c r="I46" s="579"/>
      <c r="J46" s="580"/>
    </row>
    <row r="47" spans="2:25" ht="15.75" x14ac:dyDescent="0.2">
      <c r="B47" s="585" t="str">
        <f>"Breakeven Yield at " &amp; TEXT(G6,"$0.00") &amp;" /bushel"</f>
        <v>Breakeven Yield at $7.00 /bushel</v>
      </c>
      <c r="C47" s="586"/>
      <c r="D47" s="587"/>
      <c r="E47" s="401">
        <f>J36/G6</f>
        <v>68.766951306923914</v>
      </c>
      <c r="F47" s="575" t="s">
        <v>67</v>
      </c>
      <c r="G47" s="576"/>
      <c r="H47" s="576"/>
      <c r="I47" s="576"/>
      <c r="J47" s="577"/>
      <c r="K47" s="279"/>
      <c r="L47" s="279"/>
      <c r="M47" s="402"/>
      <c r="N47" s="402"/>
      <c r="O47" s="402"/>
    </row>
    <row r="48" spans="2:25" ht="15.75" x14ac:dyDescent="0.2">
      <c r="B48" s="585" t="str">
        <f>"Breakeven Cost at " &amp; ROUND(E6,0) &amp;" bu/acre"</f>
        <v>Breakeven Cost at 85 bu/acre</v>
      </c>
      <c r="C48" s="586"/>
      <c r="D48" s="587"/>
      <c r="E48" s="403">
        <f>J36/E6</f>
        <v>5.6631606958643221</v>
      </c>
      <c r="F48" s="575" t="s">
        <v>138</v>
      </c>
      <c r="G48" s="576"/>
      <c r="H48" s="576"/>
      <c r="I48" s="576"/>
      <c r="J48" s="577"/>
      <c r="K48" s="279"/>
      <c r="L48" s="279"/>
      <c r="M48" s="402"/>
      <c r="N48" s="402"/>
      <c r="O48" s="402"/>
    </row>
    <row r="49" spans="2:15" ht="15.75" x14ac:dyDescent="0.2">
      <c r="B49" s="585" t="str">
        <f>"Breakeven Cost at " &amp; ROUND(E6,0) &amp;" bu/acre"</f>
        <v>Breakeven Cost at 85 bu/acre</v>
      </c>
      <c r="C49" s="586"/>
      <c r="D49" s="587"/>
      <c r="E49" s="403">
        <f>(J36+SUM(J41:J44))/E6</f>
        <v>6.4928808115157528</v>
      </c>
      <c r="F49" s="575" t="s">
        <v>139</v>
      </c>
      <c r="G49" s="576"/>
      <c r="H49" s="576"/>
      <c r="I49" s="576"/>
      <c r="J49" s="577"/>
    </row>
    <row r="50" spans="2:15" x14ac:dyDescent="0.2">
      <c r="B50" s="581"/>
      <c r="C50" s="581"/>
      <c r="D50" s="581"/>
      <c r="E50" s="581"/>
      <c r="F50" s="581"/>
      <c r="G50" s="581"/>
      <c r="H50" s="581"/>
      <c r="I50" s="581"/>
      <c r="J50" s="581"/>
    </row>
    <row r="51" spans="2:15" x14ac:dyDescent="0.2">
      <c r="B51" s="584" t="s">
        <v>144</v>
      </c>
      <c r="C51" s="584"/>
      <c r="D51" s="584"/>
      <c r="E51" s="584"/>
      <c r="F51" s="584"/>
      <c r="G51" s="584"/>
      <c r="H51" s="584"/>
      <c r="I51" s="584"/>
      <c r="J51" s="584"/>
    </row>
    <row r="52" spans="2:15" ht="13.15" customHeight="1" x14ac:dyDescent="0.2">
      <c r="B52" s="582" t="s">
        <v>146</v>
      </c>
      <c r="C52" s="583"/>
      <c r="D52" s="583"/>
      <c r="E52" s="583"/>
      <c r="F52" s="583"/>
      <c r="G52" s="583"/>
      <c r="H52" s="583"/>
      <c r="I52" s="583"/>
      <c r="J52" s="583"/>
    </row>
    <row r="53" spans="2:15" ht="13.15" customHeight="1" x14ac:dyDescent="0.2">
      <c r="B53" s="582" t="s">
        <v>153</v>
      </c>
      <c r="C53" s="583"/>
      <c r="D53" s="583"/>
      <c r="E53" s="583"/>
      <c r="F53" s="583"/>
      <c r="G53" s="583"/>
      <c r="H53" s="583"/>
      <c r="I53" s="583"/>
      <c r="J53" s="583"/>
    </row>
    <row r="54" spans="2:15" ht="13.15" customHeight="1" x14ac:dyDescent="0.2">
      <c r="B54" s="582" t="s">
        <v>157</v>
      </c>
      <c r="C54" s="583"/>
      <c r="D54" s="583"/>
      <c r="E54" s="583"/>
      <c r="F54" s="583"/>
      <c r="G54" s="583"/>
      <c r="H54" s="583"/>
      <c r="I54" s="583"/>
      <c r="J54" s="583"/>
    </row>
    <row r="55" spans="2:15" x14ac:dyDescent="0.2">
      <c r="B55" s="582" t="s">
        <v>154</v>
      </c>
      <c r="C55" s="583"/>
      <c r="D55" s="583"/>
      <c r="E55" s="583"/>
      <c r="F55" s="583"/>
      <c r="G55" s="583"/>
      <c r="H55" s="583"/>
      <c r="I55" s="583"/>
      <c r="J55" s="583"/>
    </row>
    <row r="56" spans="2:15" x14ac:dyDescent="0.2">
      <c r="B56" s="583"/>
      <c r="C56" s="583"/>
      <c r="D56" s="583"/>
      <c r="E56" s="583"/>
      <c r="F56" s="583"/>
      <c r="G56" s="583"/>
      <c r="H56" s="583"/>
      <c r="I56" s="583"/>
      <c r="J56" s="583"/>
    </row>
    <row r="57" spans="2:15" x14ac:dyDescent="0.2">
      <c r="B57" s="350"/>
      <c r="C57" s="350"/>
      <c r="D57" s="350"/>
      <c r="E57" s="350"/>
      <c r="F57" s="350"/>
      <c r="G57" s="350"/>
      <c r="H57" s="350"/>
      <c r="I57" s="350"/>
      <c r="J57" s="350"/>
    </row>
    <row r="59" spans="2:15" ht="13.5" customHeight="1" x14ac:dyDescent="0.2"/>
    <row r="60" spans="2:15" ht="14.25" hidden="1" customHeight="1" x14ac:dyDescent="0.2">
      <c r="C60" s="348">
        <v>5</v>
      </c>
      <c r="D60" s="348" t="str">
        <f>'Machinery(Heirloom)'!B50</f>
        <v>N</v>
      </c>
    </row>
    <row r="61" spans="2:15" hidden="1" x14ac:dyDescent="0.2">
      <c r="C61" s="348">
        <v>6</v>
      </c>
      <c r="D61" s="348" t="str">
        <f>'Machinery(Heirloom)'!B49</f>
        <v>Y</v>
      </c>
    </row>
    <row r="62" spans="2:15" hidden="1" x14ac:dyDescent="0.2">
      <c r="C62" s="348">
        <v>7</v>
      </c>
      <c r="I62" s="279"/>
      <c r="M62" s="279"/>
      <c r="N62" s="348"/>
    </row>
    <row r="63" spans="2:15" hidden="1" x14ac:dyDescent="0.2">
      <c r="C63" s="348">
        <v>8</v>
      </c>
      <c r="M63" s="279"/>
      <c r="N63" s="348"/>
    </row>
    <row r="64" spans="2:15" hidden="1" x14ac:dyDescent="0.2">
      <c r="O64" s="402"/>
    </row>
    <row r="65" spans="3:18" hidden="1" x14ac:dyDescent="0.2">
      <c r="M65" s="402"/>
      <c r="N65" s="402"/>
      <c r="O65" s="402"/>
    </row>
    <row r="66" spans="3:18" hidden="1" x14ac:dyDescent="0.2">
      <c r="C66" s="279" t="s">
        <v>238</v>
      </c>
      <c r="M66" s="402"/>
      <c r="N66" s="402"/>
      <c r="O66" s="402"/>
    </row>
    <row r="67" spans="3:18" hidden="1" x14ac:dyDescent="0.2">
      <c r="C67" s="279" t="s">
        <v>249</v>
      </c>
      <c r="L67" s="279"/>
      <c r="M67" s="402"/>
      <c r="N67" s="402"/>
      <c r="O67" s="402"/>
    </row>
    <row r="68" spans="3:18" hidden="1" x14ac:dyDescent="0.2">
      <c r="L68" s="279"/>
      <c r="M68" s="402"/>
      <c r="N68" s="402"/>
      <c r="O68" s="402"/>
    </row>
    <row r="69" spans="3:18" hidden="1" x14ac:dyDescent="0.2"/>
    <row r="70" spans="3:18" hidden="1" x14ac:dyDescent="0.2">
      <c r="C70" s="279" t="s">
        <v>238</v>
      </c>
    </row>
    <row r="71" spans="3:18" hidden="1" x14ac:dyDescent="0.2">
      <c r="C71" s="404" t="str">
        <f>IF(I21=D60,"-","Calculate")</f>
        <v>Calculate</v>
      </c>
    </row>
    <row r="72" spans="3:18" ht="25.5" hidden="1" x14ac:dyDescent="0.2">
      <c r="M72" s="348"/>
      <c r="N72" s="279" t="s">
        <v>217</v>
      </c>
      <c r="O72" s="279" t="s">
        <v>218</v>
      </c>
      <c r="P72" s="279" t="s">
        <v>219</v>
      </c>
      <c r="Q72" s="279"/>
      <c r="R72" s="405" t="s">
        <v>195</v>
      </c>
    </row>
    <row r="73" spans="3:18" hidden="1" x14ac:dyDescent="0.2">
      <c r="C73" s="348" t="s">
        <v>375</v>
      </c>
      <c r="L73" s="571" t="s">
        <v>196</v>
      </c>
      <c r="M73" s="571"/>
      <c r="N73" s="406"/>
      <c r="O73" s="406"/>
      <c r="P73" s="406"/>
      <c r="Q73" s="406"/>
      <c r="R73" s="407"/>
    </row>
    <row r="74" spans="3:18" hidden="1" x14ac:dyDescent="0.2">
      <c r="C74" s="348" t="s">
        <v>376</v>
      </c>
      <c r="M74" s="279" t="s">
        <v>197</v>
      </c>
      <c r="N74" s="406">
        <v>0.46</v>
      </c>
      <c r="O74" s="406"/>
      <c r="P74" s="406"/>
      <c r="Q74" s="406"/>
      <c r="R74" s="408" t="s">
        <v>198</v>
      </c>
    </row>
    <row r="75" spans="3:18" hidden="1" x14ac:dyDescent="0.2">
      <c r="M75" s="279" t="s">
        <v>199</v>
      </c>
      <c r="N75" s="406">
        <v>0.82</v>
      </c>
      <c r="O75" s="406"/>
      <c r="P75" s="406"/>
      <c r="Q75" s="406"/>
      <c r="R75" s="408" t="s">
        <v>200</v>
      </c>
    </row>
    <row r="76" spans="3:18" hidden="1" x14ac:dyDescent="0.2">
      <c r="C76" s="279" t="s">
        <v>226</v>
      </c>
      <c r="H76" s="349"/>
      <c r="I76" s="349"/>
      <c r="M76" s="279" t="s">
        <v>201</v>
      </c>
      <c r="N76" s="406">
        <v>0.32</v>
      </c>
      <c r="O76" s="406"/>
      <c r="P76" s="406"/>
      <c r="Q76" s="406"/>
      <c r="R76" s="408" t="s">
        <v>202</v>
      </c>
    </row>
    <row r="77" spans="3:18" hidden="1" x14ac:dyDescent="0.2">
      <c r="C77" s="279" t="s">
        <v>230</v>
      </c>
      <c r="M77" s="279" t="s">
        <v>203</v>
      </c>
      <c r="N77" s="406">
        <v>0.28000000000000003</v>
      </c>
      <c r="O77" s="406"/>
      <c r="P77" s="406"/>
      <c r="Q77" s="406"/>
      <c r="R77" s="408" t="s">
        <v>204</v>
      </c>
    </row>
    <row r="78" spans="3:18" hidden="1" x14ac:dyDescent="0.2">
      <c r="C78" s="279" t="s">
        <v>231</v>
      </c>
      <c r="L78" s="571" t="s">
        <v>205</v>
      </c>
      <c r="M78" s="571"/>
      <c r="N78" s="406"/>
      <c r="O78" s="406"/>
      <c r="P78" s="406"/>
      <c r="Q78" s="406"/>
      <c r="R78" s="408"/>
    </row>
    <row r="79" spans="3:18" hidden="1" x14ac:dyDescent="0.2">
      <c r="M79" s="279" t="s">
        <v>220</v>
      </c>
      <c r="N79" s="406"/>
      <c r="O79" s="406">
        <v>0.6</v>
      </c>
      <c r="P79" s="406"/>
      <c r="Q79" s="406"/>
      <c r="R79" s="408" t="s">
        <v>206</v>
      </c>
    </row>
    <row r="80" spans="3:18" hidden="1" x14ac:dyDescent="0.2">
      <c r="C80" s="279" t="s">
        <v>252</v>
      </c>
      <c r="M80" s="279" t="s">
        <v>207</v>
      </c>
      <c r="N80" s="406"/>
      <c r="O80" s="406">
        <v>0.5</v>
      </c>
      <c r="P80" s="406"/>
      <c r="Q80" s="406"/>
      <c r="R80" s="408" t="s">
        <v>208</v>
      </c>
    </row>
    <row r="81" spans="3:18" hidden="1" x14ac:dyDescent="0.2">
      <c r="C81" s="279" t="s">
        <v>253</v>
      </c>
      <c r="L81" s="571" t="s">
        <v>209</v>
      </c>
      <c r="M81" s="571"/>
      <c r="N81" s="406"/>
      <c r="O81" s="406"/>
      <c r="P81" s="406"/>
      <c r="Q81" s="406"/>
      <c r="R81" s="409"/>
    </row>
    <row r="82" spans="3:18" hidden="1" x14ac:dyDescent="0.2">
      <c r="C82" s="279"/>
      <c r="M82" s="279" t="s">
        <v>210</v>
      </c>
      <c r="N82" s="406">
        <v>0.11</v>
      </c>
      <c r="O82" s="406"/>
      <c r="P82" s="406">
        <v>0.52</v>
      </c>
      <c r="Q82" s="406"/>
      <c r="R82" s="408" t="s">
        <v>211</v>
      </c>
    </row>
    <row r="83" spans="3:18" hidden="1" x14ac:dyDescent="0.2">
      <c r="M83" s="279" t="s">
        <v>212</v>
      </c>
      <c r="N83" s="406">
        <v>0.18</v>
      </c>
      <c r="O83" s="406"/>
      <c r="P83" s="406">
        <v>0.46</v>
      </c>
      <c r="Q83" s="406"/>
      <c r="R83" s="408" t="s">
        <v>213</v>
      </c>
    </row>
    <row r="84" spans="3:18" hidden="1" x14ac:dyDescent="0.2">
      <c r="C84" s="402" t="s">
        <v>244</v>
      </c>
      <c r="M84" s="279" t="s">
        <v>214</v>
      </c>
      <c r="N84" s="406">
        <v>0.1</v>
      </c>
      <c r="O84" s="406"/>
      <c r="P84" s="406">
        <v>0.34</v>
      </c>
      <c r="Q84" s="406"/>
      <c r="R84" s="408" t="s">
        <v>214</v>
      </c>
    </row>
    <row r="85" spans="3:18" hidden="1" x14ac:dyDescent="0.2">
      <c r="C85" s="279" t="s">
        <v>273</v>
      </c>
      <c r="L85" s="571" t="s">
        <v>215</v>
      </c>
      <c r="M85" s="571"/>
      <c r="N85" s="406"/>
      <c r="O85" s="406"/>
      <c r="P85" s="406"/>
      <c r="Q85" s="406"/>
      <c r="R85" s="410"/>
    </row>
    <row r="86" spans="3:18" hidden="1" x14ac:dyDescent="0.2">
      <c r="M86" s="279" t="s">
        <v>221</v>
      </c>
      <c r="N86" s="406">
        <v>0.19</v>
      </c>
      <c r="O86" s="406">
        <v>0.19</v>
      </c>
      <c r="P86" s="406">
        <v>0.19</v>
      </c>
      <c r="Q86" s="406"/>
      <c r="R86" s="408" t="s">
        <v>216</v>
      </c>
    </row>
    <row r="87" spans="3:18" hidden="1" x14ac:dyDescent="0.2">
      <c r="C87" s="411" t="str">
        <f>IF(D26=C70,C85,C27)</f>
        <v>Include Trucking in Machinery Costs</v>
      </c>
      <c r="M87" s="348"/>
      <c r="N87" s="348"/>
      <c r="O87" s="348"/>
    </row>
    <row r="88" spans="3:18" hidden="1" x14ac:dyDescent="0.2">
      <c r="O88" s="412"/>
    </row>
    <row r="89" spans="3:18" hidden="1" x14ac:dyDescent="0.2">
      <c r="C89" s="279" t="s">
        <v>374</v>
      </c>
      <c r="O89" s="402"/>
    </row>
    <row r="90" spans="3:18" hidden="1" x14ac:dyDescent="0.2">
      <c r="C90" s="279" t="s">
        <v>270</v>
      </c>
      <c r="O90" s="402"/>
    </row>
    <row r="91" spans="3:18" hidden="1" x14ac:dyDescent="0.2">
      <c r="C91" s="279" t="s">
        <v>377</v>
      </c>
      <c r="H91" s="349"/>
      <c r="I91" s="349"/>
      <c r="J91" s="349"/>
    </row>
    <row r="92" spans="3:18" hidden="1" x14ac:dyDescent="0.2">
      <c r="C92" s="279" t="s">
        <v>272</v>
      </c>
      <c r="H92" s="349"/>
      <c r="I92" s="349"/>
      <c r="J92" s="349"/>
    </row>
    <row r="93" spans="3:18" hidden="1" x14ac:dyDescent="0.2"/>
    <row r="94" spans="3:18" hidden="1" x14ac:dyDescent="0.2">
      <c r="C94" s="411" t="str">
        <f>IF(I21=D60,C70,D26)</f>
        <v>Calculate</v>
      </c>
    </row>
    <row r="95" spans="3:18" hidden="1" x14ac:dyDescent="0.2">
      <c r="C95" s="349"/>
    </row>
    <row r="96" spans="3:18" hidden="1" x14ac:dyDescent="0.2">
      <c r="C96" s="279" t="s">
        <v>452</v>
      </c>
    </row>
    <row r="97" spans="3:15" hidden="1" x14ac:dyDescent="0.2">
      <c r="C97" s="415" t="s">
        <v>453</v>
      </c>
    </row>
    <row r="98" spans="3:15" x14ac:dyDescent="0.2">
      <c r="C98" s="413"/>
      <c r="D98" s="413"/>
      <c r="E98" s="413"/>
      <c r="F98" s="413"/>
      <c r="G98" s="413"/>
      <c r="H98" s="413"/>
      <c r="I98" s="413"/>
      <c r="J98" s="413"/>
      <c r="K98" s="413"/>
      <c r="L98" s="413"/>
      <c r="M98" s="413"/>
      <c r="N98" s="414"/>
      <c r="O98" s="414"/>
    </row>
    <row r="99" spans="3:15" x14ac:dyDescent="0.2">
      <c r="C99" s="414"/>
      <c r="D99" s="414"/>
      <c r="E99" s="414"/>
      <c r="F99" s="414"/>
      <c r="G99" s="414"/>
      <c r="H99" s="414"/>
      <c r="I99" s="414"/>
      <c r="J99" s="414"/>
      <c r="K99" s="414"/>
      <c r="L99" s="414"/>
      <c r="M99" s="414"/>
      <c r="N99" s="414"/>
      <c r="O99" s="414"/>
    </row>
    <row r="100" spans="3:15" ht="12.75" customHeight="1" x14ac:dyDescent="0.2">
      <c r="C100" s="414"/>
      <c r="D100" s="414"/>
      <c r="E100" s="414"/>
      <c r="F100" s="414"/>
      <c r="G100" s="414"/>
      <c r="H100" s="414"/>
      <c r="I100" s="414"/>
      <c r="J100" s="414"/>
      <c r="K100" s="414"/>
      <c r="L100" s="414"/>
      <c r="M100" s="414"/>
      <c r="N100" s="414"/>
      <c r="O100" s="414"/>
    </row>
    <row r="101" spans="3:15" x14ac:dyDescent="0.2">
      <c r="C101" s="414"/>
      <c r="D101" s="414"/>
      <c r="E101" s="414"/>
      <c r="F101" s="414"/>
      <c r="G101" s="414"/>
      <c r="H101" s="414"/>
      <c r="I101" s="414"/>
      <c r="J101" s="414"/>
      <c r="K101" s="414"/>
      <c r="L101" s="414"/>
      <c r="M101" s="414"/>
      <c r="N101" s="414"/>
      <c r="O101" s="414"/>
    </row>
    <row r="102" spans="3:15" x14ac:dyDescent="0.2">
      <c r="D102" s="414"/>
      <c r="E102" s="414"/>
      <c r="F102" s="414"/>
      <c r="G102" s="414"/>
      <c r="H102" s="414"/>
      <c r="I102" s="414"/>
      <c r="J102" s="414"/>
      <c r="K102" s="414"/>
      <c r="L102" s="414"/>
      <c r="M102" s="414"/>
      <c r="N102" s="414"/>
      <c r="O102" s="414"/>
    </row>
    <row r="103" spans="3:15" x14ac:dyDescent="0.2">
      <c r="D103" s="414"/>
      <c r="E103" s="414"/>
      <c r="F103" s="414"/>
      <c r="G103" s="414"/>
      <c r="H103" s="414"/>
      <c r="I103" s="414"/>
      <c r="J103" s="414"/>
      <c r="K103" s="414"/>
      <c r="L103" s="414"/>
      <c r="M103" s="414"/>
      <c r="N103" s="414"/>
      <c r="O103" s="414"/>
    </row>
    <row r="104" spans="3:15" x14ac:dyDescent="0.2">
      <c r="D104" s="414"/>
      <c r="E104" s="414"/>
      <c r="F104" s="414"/>
      <c r="G104" s="414"/>
      <c r="H104" s="414"/>
      <c r="I104" s="414"/>
      <c r="J104" s="414"/>
      <c r="K104" s="414"/>
      <c r="L104" s="414"/>
      <c r="M104" s="414"/>
      <c r="N104" s="414"/>
      <c r="O104" s="414"/>
    </row>
    <row r="105" spans="3:15" x14ac:dyDescent="0.2">
      <c r="D105" s="414"/>
      <c r="E105" s="414"/>
      <c r="F105" s="414"/>
      <c r="G105" s="414"/>
      <c r="H105" s="414"/>
      <c r="I105" s="414"/>
      <c r="J105" s="414"/>
      <c r="K105" s="414"/>
      <c r="L105" s="414"/>
      <c r="M105" s="414"/>
      <c r="N105" s="414"/>
      <c r="O105" s="414"/>
    </row>
    <row r="106" spans="3:15" x14ac:dyDescent="0.2">
      <c r="D106" s="414"/>
      <c r="E106" s="414"/>
      <c r="F106" s="414"/>
      <c r="G106" s="414"/>
      <c r="H106" s="414"/>
      <c r="I106" s="414"/>
      <c r="J106" s="414"/>
      <c r="K106" s="414"/>
      <c r="L106" s="414"/>
      <c r="M106" s="414"/>
      <c r="N106" s="414"/>
      <c r="O106" s="414"/>
    </row>
    <row r="107" spans="3:15" x14ac:dyDescent="0.2">
      <c r="D107" s="414"/>
      <c r="E107" s="414"/>
      <c r="F107" s="414"/>
      <c r="G107" s="414"/>
      <c r="H107" s="414"/>
      <c r="I107" s="414"/>
      <c r="J107" s="414"/>
      <c r="K107" s="414"/>
      <c r="L107" s="414"/>
      <c r="M107" s="414"/>
      <c r="N107" s="414"/>
      <c r="O107" s="414"/>
    </row>
  </sheetData>
  <sheetProtection algorithmName="SHA-512" hashValue="FXAGpe24ShvsqT0xZO6vBivOLUV1YDgKD18x43PDN1J93AEx7Ga40zJ+ehj8ihyWPErZbuhC5bPne9t+/qMf2A==" saltValue="TxmjhBOJNGTPEiPhRsNhnA==" spinCount="100000" sheet="1" objects="1" scenarios="1" formatCells="0" formatColumns="0" formatRows="0"/>
  <mergeCells count="94">
    <mergeCell ref="C6:D6"/>
    <mergeCell ref="H6:I6"/>
    <mergeCell ref="B2:J2"/>
    <mergeCell ref="B3:J3"/>
    <mergeCell ref="B4:D4"/>
    <mergeCell ref="H4:I4"/>
    <mergeCell ref="E5:J5"/>
    <mergeCell ref="C7:D7"/>
    <mergeCell ref="H7:I7"/>
    <mergeCell ref="C8:D8"/>
    <mergeCell ref="H8:I8"/>
    <mergeCell ref="B9:D9"/>
    <mergeCell ref="H9:I9"/>
    <mergeCell ref="B10:J10"/>
    <mergeCell ref="B11:D11"/>
    <mergeCell ref="E11:J11"/>
    <mergeCell ref="L11:M12"/>
    <mergeCell ref="N11:N12"/>
    <mergeCell ref="C19:D19"/>
    <mergeCell ref="H19:I19"/>
    <mergeCell ref="V11:V12"/>
    <mergeCell ref="C12:D12"/>
    <mergeCell ref="H12:I12"/>
    <mergeCell ref="C13:D13"/>
    <mergeCell ref="H13:I15"/>
    <mergeCell ref="C14:D14"/>
    <mergeCell ref="C15:D15"/>
    <mergeCell ref="P11:P12"/>
    <mergeCell ref="Q11:Q12"/>
    <mergeCell ref="R11:R12"/>
    <mergeCell ref="S11:S12"/>
    <mergeCell ref="T11:T12"/>
    <mergeCell ref="U11:U12"/>
    <mergeCell ref="O11:O12"/>
    <mergeCell ref="C16:D16"/>
    <mergeCell ref="C17:D17"/>
    <mergeCell ref="H17:I17"/>
    <mergeCell ref="C18:D18"/>
    <mergeCell ref="H18:I18"/>
    <mergeCell ref="C29:D29"/>
    <mergeCell ref="C20:D20"/>
    <mergeCell ref="H20:I20"/>
    <mergeCell ref="C21:D21"/>
    <mergeCell ref="H21:H25"/>
    <mergeCell ref="I21:I25"/>
    <mergeCell ref="C22:D22"/>
    <mergeCell ref="C23:D23"/>
    <mergeCell ref="C24:D24"/>
    <mergeCell ref="C25:D25"/>
    <mergeCell ref="H26:H27"/>
    <mergeCell ref="I26:I27"/>
    <mergeCell ref="C27:D27"/>
    <mergeCell ref="C28:D28"/>
    <mergeCell ref="H28:I28"/>
    <mergeCell ref="C31:D31"/>
    <mergeCell ref="H31:I31"/>
    <mergeCell ref="C33:D33"/>
    <mergeCell ref="H33:I33"/>
    <mergeCell ref="C34:D34"/>
    <mergeCell ref="H34:I34"/>
    <mergeCell ref="C43:D43"/>
    <mergeCell ref="H43:I43"/>
    <mergeCell ref="C35:D35"/>
    <mergeCell ref="B36:D36"/>
    <mergeCell ref="H36:I36"/>
    <mergeCell ref="B37:J37"/>
    <mergeCell ref="B38:I38"/>
    <mergeCell ref="B39:J39"/>
    <mergeCell ref="B40:D40"/>
    <mergeCell ref="E40:J40"/>
    <mergeCell ref="C41:D41"/>
    <mergeCell ref="H41:I42"/>
    <mergeCell ref="C42:D42"/>
    <mergeCell ref="B51:J51"/>
    <mergeCell ref="C44:D44"/>
    <mergeCell ref="H44:I44"/>
    <mergeCell ref="B45:I45"/>
    <mergeCell ref="B46:J46"/>
    <mergeCell ref="B47:D47"/>
    <mergeCell ref="F47:J47"/>
    <mergeCell ref="B48:D48"/>
    <mergeCell ref="F48:J48"/>
    <mergeCell ref="B49:D49"/>
    <mergeCell ref="F49:J49"/>
    <mergeCell ref="B50:J50"/>
    <mergeCell ref="L78:M78"/>
    <mergeCell ref="L81:M81"/>
    <mergeCell ref="L85:M85"/>
    <mergeCell ref="B52:J52"/>
    <mergeCell ref="B53:J53"/>
    <mergeCell ref="B54:J54"/>
    <mergeCell ref="B55:J55"/>
    <mergeCell ref="B56:J56"/>
    <mergeCell ref="L73:M73"/>
  </mergeCells>
  <conditionalFormatting sqref="E30:G30">
    <cfRule type="expression" dxfId="100" priority="1">
      <formula>$D$30=$C$67</formula>
    </cfRule>
  </conditionalFormatting>
  <conditionalFormatting sqref="E26:G26">
    <cfRule type="expression" dxfId="99" priority="2">
      <formula>$C$94=$C$71</formula>
    </cfRule>
  </conditionalFormatting>
  <conditionalFormatting sqref="C27:G27 H26:I27">
    <cfRule type="expression" dxfId="98" priority="3">
      <formula>$D$26=$C$70</formula>
    </cfRule>
  </conditionalFormatting>
  <conditionalFormatting sqref="E32:G32">
    <cfRule type="expression" dxfId="97" priority="4">
      <formula>$D$32=$C$81</formula>
    </cfRule>
  </conditionalFormatting>
  <conditionalFormatting sqref="H32:I32">
    <cfRule type="expression" dxfId="96" priority="5">
      <formula>$D$32=$C$80</formula>
    </cfRule>
  </conditionalFormatting>
  <conditionalFormatting sqref="E41:G42 E21:G25">
    <cfRule type="expression" dxfId="95" priority="6">
      <formula>$I$21=$D$61</formula>
    </cfRule>
  </conditionalFormatting>
  <conditionalFormatting sqref="C27:G27 H26:I27 J27">
    <cfRule type="expression" dxfId="94" priority="7">
      <formula>$I$21=$D$60</formula>
    </cfRule>
  </conditionalFormatting>
  <dataValidations count="9">
    <dataValidation type="list" allowBlank="1" showInputMessage="1" showErrorMessage="1" sqref="I35">
      <formula1>$C$60:$C$63</formula1>
    </dataValidation>
    <dataValidation type="list" allowBlank="1" showInputMessage="1" showErrorMessage="1" sqref="I21">
      <formula1>$D$60:$D$61</formula1>
    </dataValidation>
    <dataValidation type="list" allowBlank="1" showInputMessage="1" showErrorMessage="1" sqref="C27">
      <formula1>$C$84:$C$85</formula1>
    </dataValidation>
    <dataValidation type="list" allowBlank="1" showInputMessage="1" showErrorMessage="1" sqref="D32">
      <formula1>$C$80:$C$81</formula1>
    </dataValidation>
    <dataValidation type="list" allowBlank="1" showInputMessage="1" showErrorMessage="1" sqref="D26">
      <formula1>$C$70:$C$71</formula1>
    </dataValidation>
    <dataValidation type="list" allowBlank="1" showInputMessage="1" showErrorMessage="1" sqref="D30">
      <formula1>$C$66:$C$67</formula1>
    </dataValidation>
    <dataValidation type="list" allowBlank="1" showInputMessage="1" showErrorMessage="1" sqref="M15">
      <formula1>$M$79:$M$80</formula1>
    </dataValidation>
    <dataValidation type="list" allowBlank="1" showInputMessage="1" showErrorMessage="1" sqref="M14">
      <formula1>$M$82:$M$84</formula1>
    </dataValidation>
    <dataValidation type="list" allowBlank="1" showInputMessage="1" showErrorMessage="1" sqref="M13">
      <formula1>$M$74:$M$77</formula1>
    </dataValidation>
  </dataValidations>
  <pageMargins left="0.75" right="0.75" top="1" bottom="1" header="0.5" footer="0.5"/>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7"/>
  <sheetViews>
    <sheetView showGridLines="0" workbookViewId="0">
      <selection activeCell="N24" sqref="N24"/>
    </sheetView>
  </sheetViews>
  <sheetFormatPr defaultColWidth="9.140625" defaultRowHeight="12.75" x14ac:dyDescent="0.2"/>
  <cols>
    <col min="1" max="1" width="3.7109375" style="421" customWidth="1"/>
    <col min="2" max="2" width="37.5703125" style="421" customWidth="1"/>
    <col min="3" max="5" width="8.28515625" style="421" customWidth="1"/>
    <col min="6" max="6" width="3.7109375" style="421" customWidth="1"/>
    <col min="7" max="8" width="14.7109375" style="421" customWidth="1"/>
    <col min="9" max="9" width="18" style="421" customWidth="1"/>
    <col min="10" max="11" width="14.7109375" style="421" customWidth="1"/>
    <col min="12" max="12" width="11.28515625" style="421" customWidth="1"/>
    <col min="13" max="13" width="3.7109375" style="421" customWidth="1"/>
    <col min="14" max="14" width="23.42578125" style="421" customWidth="1"/>
    <col min="15" max="16" width="8.7109375" style="421" customWidth="1"/>
    <col min="17" max="17" width="5.7109375" style="421" customWidth="1"/>
    <col min="18" max="21" width="14.7109375" style="421" customWidth="1"/>
    <col min="22" max="22" width="12.7109375" style="421" customWidth="1"/>
    <col min="23" max="16384" width="9.140625" style="421"/>
  </cols>
  <sheetData>
    <row r="2" spans="2:14" ht="15.75" x14ac:dyDescent="0.25">
      <c r="B2" s="612" t="s">
        <v>418</v>
      </c>
      <c r="C2" s="612"/>
      <c r="D2" s="612"/>
      <c r="E2" s="612"/>
      <c r="F2" s="612"/>
      <c r="G2" s="612"/>
      <c r="H2" s="612"/>
      <c r="I2" s="612"/>
      <c r="J2" s="612"/>
      <c r="K2" s="612"/>
      <c r="L2" s="612"/>
      <c r="M2" s="420"/>
      <c r="N2" s="420"/>
    </row>
    <row r="3" spans="2:14" ht="5.0999999999999996" customHeight="1" x14ac:dyDescent="0.25">
      <c r="B3" s="611"/>
      <c r="C3" s="611"/>
      <c r="D3" s="611"/>
      <c r="E3" s="611"/>
      <c r="F3" s="611"/>
      <c r="G3" s="611"/>
      <c r="H3" s="611"/>
      <c r="I3" s="611"/>
      <c r="J3" s="611"/>
      <c r="K3" s="611"/>
      <c r="L3" s="611"/>
      <c r="M3" s="420"/>
      <c r="N3" s="420"/>
    </row>
    <row r="4" spans="2:14" ht="12.95" customHeight="1" x14ac:dyDescent="0.2">
      <c r="B4" s="98"/>
      <c r="C4" s="642"/>
      <c r="D4" s="642"/>
      <c r="E4" s="644" t="s">
        <v>127</v>
      </c>
      <c r="F4" s="644"/>
      <c r="G4" s="644"/>
      <c r="H4" s="644"/>
      <c r="I4" s="644"/>
      <c r="J4" s="644"/>
      <c r="K4" s="644"/>
      <c r="L4" s="644"/>
      <c r="M4" s="94"/>
    </row>
    <row r="5" spans="2:14" ht="12.95" customHeight="1" x14ac:dyDescent="0.2">
      <c r="B5" s="98" t="s">
        <v>161</v>
      </c>
      <c r="C5" s="652">
        <v>1.75</v>
      </c>
      <c r="D5" s="652"/>
      <c r="E5" s="640" t="s">
        <v>317</v>
      </c>
      <c r="F5" s="640"/>
      <c r="G5" s="640"/>
      <c r="H5" s="640"/>
      <c r="I5" s="640"/>
      <c r="J5" s="640"/>
      <c r="K5" s="640"/>
      <c r="L5" s="640"/>
    </row>
    <row r="6" spans="2:14" ht="12.95" customHeight="1" thickBot="1" x14ac:dyDescent="0.25">
      <c r="B6" s="98" t="s">
        <v>162</v>
      </c>
      <c r="C6" s="622">
        <v>15</v>
      </c>
      <c r="D6" s="622"/>
      <c r="E6" s="640" t="s">
        <v>100</v>
      </c>
      <c r="F6" s="640"/>
      <c r="G6" s="640"/>
      <c r="H6" s="640"/>
      <c r="I6" s="640"/>
      <c r="J6" s="640"/>
      <c r="K6" s="640"/>
      <c r="L6" s="640"/>
    </row>
    <row r="7" spans="2:14" ht="12.95" customHeight="1" thickBot="1" x14ac:dyDescent="0.25">
      <c r="B7" s="422" t="s">
        <v>124</v>
      </c>
      <c r="C7" s="621" t="s">
        <v>51</v>
      </c>
      <c r="D7" s="621"/>
      <c r="E7" s="643" t="s">
        <v>254</v>
      </c>
      <c r="F7" s="640"/>
      <c r="G7" s="640"/>
      <c r="H7" s="640"/>
      <c r="I7" s="640"/>
      <c r="J7" s="640"/>
      <c r="K7" s="640"/>
      <c r="L7" s="640"/>
    </row>
    <row r="8" spans="2:14" ht="12.95" customHeight="1" x14ac:dyDescent="0.2">
      <c r="B8" s="98" t="s">
        <v>163</v>
      </c>
      <c r="C8" s="620">
        <v>12.5</v>
      </c>
      <c r="D8" s="620"/>
      <c r="E8" s="624" t="s">
        <v>99</v>
      </c>
      <c r="F8" s="624"/>
      <c r="G8" s="624"/>
      <c r="H8" s="624"/>
      <c r="I8" s="624"/>
      <c r="J8" s="624"/>
      <c r="K8" s="624"/>
      <c r="L8" s="624"/>
    </row>
    <row r="9" spans="2:14" ht="12.95" customHeight="1" thickBot="1" x14ac:dyDescent="0.25">
      <c r="B9" s="98" t="s">
        <v>70</v>
      </c>
      <c r="C9" s="619">
        <v>0</v>
      </c>
      <c r="D9" s="619"/>
      <c r="E9" s="624" t="s">
        <v>107</v>
      </c>
      <c r="F9" s="624"/>
      <c r="G9" s="624"/>
      <c r="H9" s="624"/>
      <c r="I9" s="624"/>
      <c r="J9" s="624"/>
      <c r="K9" s="624"/>
      <c r="L9" s="624"/>
    </row>
    <row r="10" spans="2:14" ht="12.95" customHeight="1" thickBot="1" x14ac:dyDescent="0.25">
      <c r="B10" s="423" t="s">
        <v>454</v>
      </c>
      <c r="C10" s="647" t="s">
        <v>366</v>
      </c>
      <c r="D10" s="647"/>
      <c r="E10" s="645" t="s">
        <v>457</v>
      </c>
      <c r="F10" s="646"/>
      <c r="G10" s="646"/>
      <c r="H10" s="646"/>
      <c r="I10" s="646"/>
      <c r="J10" s="646"/>
      <c r="K10" s="646"/>
      <c r="L10" s="646"/>
    </row>
    <row r="11" spans="2:14" ht="12.95" customHeight="1" x14ac:dyDescent="0.2">
      <c r="B11" s="100" t="s">
        <v>455</v>
      </c>
      <c r="C11" s="424">
        <v>0.75</v>
      </c>
      <c r="D11" s="472">
        <v>0.75</v>
      </c>
      <c r="E11" s="624" t="s">
        <v>343</v>
      </c>
      <c r="F11" s="624"/>
      <c r="G11" s="624"/>
      <c r="H11" s="624"/>
      <c r="I11" s="624"/>
      <c r="J11" s="624"/>
      <c r="K11" s="624"/>
      <c r="L11" s="624"/>
    </row>
    <row r="12" spans="2:14" ht="12.95" customHeight="1" x14ac:dyDescent="0.2">
      <c r="B12" s="100" t="s">
        <v>456</v>
      </c>
      <c r="C12" s="425">
        <v>0.35</v>
      </c>
      <c r="D12" s="473">
        <v>0.35</v>
      </c>
      <c r="E12" s="629" t="s">
        <v>406</v>
      </c>
      <c r="F12" s="630"/>
      <c r="G12" s="630"/>
      <c r="H12" s="630"/>
      <c r="I12" s="630"/>
      <c r="J12" s="630"/>
      <c r="K12" s="630"/>
      <c r="L12" s="631"/>
    </row>
    <row r="13" spans="2:14" x14ac:dyDescent="0.2">
      <c r="B13" s="94"/>
      <c r="C13" s="94"/>
      <c r="D13" s="94"/>
      <c r="E13" s="94"/>
      <c r="F13" s="94"/>
      <c r="G13" s="623"/>
      <c r="H13" s="623"/>
      <c r="I13" s="623"/>
      <c r="J13" s="623"/>
      <c r="K13" s="623"/>
      <c r="L13" s="623"/>
      <c r="M13" s="623"/>
    </row>
    <row r="14" spans="2:14" ht="15.75" x14ac:dyDescent="0.25">
      <c r="B14" s="612" t="str">
        <f>IF(Heirloom!I21=Heirloom!D61,"Machinery Operations - Heirloom","Machinery Calculations is not currently visible because user has selected N for Calculate Machinery Costs. This can be changed on the Heirloom sheet.")</f>
        <v>Machinery Operations - Heirloom</v>
      </c>
      <c r="C14" s="612"/>
      <c r="D14" s="612"/>
      <c r="E14" s="612"/>
      <c r="F14" s="612"/>
      <c r="G14" s="612"/>
      <c r="H14" s="612"/>
      <c r="I14" s="612"/>
      <c r="J14" s="612"/>
      <c r="K14" s="612"/>
      <c r="L14" s="612"/>
    </row>
    <row r="15" spans="2:14" ht="5.0999999999999996" customHeight="1" thickBot="1" x14ac:dyDescent="0.3">
      <c r="B15" s="611"/>
      <c r="C15" s="641"/>
      <c r="D15" s="641"/>
      <c r="E15" s="641"/>
      <c r="F15" s="611"/>
      <c r="G15" s="611"/>
      <c r="H15" s="611"/>
      <c r="I15" s="611"/>
      <c r="J15" s="611"/>
      <c r="K15" s="611"/>
      <c r="L15" s="611"/>
    </row>
    <row r="16" spans="2:14" ht="12.95" customHeight="1" thickBot="1" x14ac:dyDescent="0.25">
      <c r="B16" s="426" t="s">
        <v>350</v>
      </c>
      <c r="C16" s="614" t="s">
        <v>226</v>
      </c>
      <c r="D16" s="614"/>
      <c r="E16" s="614"/>
      <c r="F16" s="427"/>
      <c r="G16" s="615" t="s">
        <v>387</v>
      </c>
      <c r="H16" s="615"/>
      <c r="I16" s="615"/>
      <c r="J16" s="615"/>
      <c r="K16" s="615"/>
      <c r="L16" s="615"/>
      <c r="M16" s="428"/>
      <c r="N16" s="344"/>
    </row>
    <row r="17" spans="1:14" ht="12.95" customHeight="1" thickBot="1" x14ac:dyDescent="0.25">
      <c r="A17" s="429"/>
      <c r="B17" s="430" t="s">
        <v>390</v>
      </c>
      <c r="C17" s="613" t="s">
        <v>391</v>
      </c>
      <c r="D17" s="613"/>
      <c r="E17" s="613"/>
      <c r="F17" s="431"/>
      <c r="G17" s="616" t="s">
        <v>386</v>
      </c>
      <c r="H17" s="617"/>
      <c r="I17" s="617"/>
      <c r="J17" s="617"/>
      <c r="K17" s="617"/>
      <c r="L17" s="618"/>
      <c r="M17" s="432"/>
      <c r="N17" s="94"/>
    </row>
    <row r="18" spans="1:14" ht="5.0999999999999996" customHeight="1" thickBot="1" x14ac:dyDescent="0.25">
      <c r="A18" s="429"/>
      <c r="B18" s="625"/>
      <c r="C18" s="626"/>
      <c r="D18" s="626"/>
      <c r="E18" s="626"/>
      <c r="F18" s="627"/>
      <c r="G18" s="627"/>
      <c r="H18" s="627"/>
      <c r="I18" s="627"/>
      <c r="J18" s="627"/>
      <c r="K18" s="627"/>
      <c r="L18" s="628"/>
      <c r="M18" s="428"/>
    </row>
    <row r="19" spans="1:14" ht="12.95" customHeight="1" thickBot="1" x14ac:dyDescent="0.25">
      <c r="B19" s="98" t="s">
        <v>126</v>
      </c>
      <c r="C19" s="650"/>
      <c r="D19" s="651"/>
      <c r="E19" s="98"/>
      <c r="F19" s="422"/>
      <c r="G19" s="479" t="s">
        <v>79</v>
      </c>
      <c r="H19" s="479" t="s">
        <v>79</v>
      </c>
      <c r="I19" s="479" t="s">
        <v>79</v>
      </c>
      <c r="J19" s="479" t="s">
        <v>79</v>
      </c>
      <c r="K19" s="479" t="s">
        <v>79</v>
      </c>
      <c r="L19" s="433"/>
      <c r="M19" s="434"/>
    </row>
    <row r="20" spans="1:14" ht="12.95" customHeight="1" x14ac:dyDescent="0.2">
      <c r="B20" s="98" t="s">
        <v>125</v>
      </c>
      <c r="C20" s="650"/>
      <c r="D20" s="651"/>
      <c r="E20" s="610" t="s">
        <v>50</v>
      </c>
      <c r="F20" s="422"/>
      <c r="G20" s="480">
        <v>0</v>
      </c>
      <c r="H20" s="480">
        <v>0</v>
      </c>
      <c r="I20" s="480">
        <v>0</v>
      </c>
      <c r="J20" s="480">
        <v>0</v>
      </c>
      <c r="K20" s="480">
        <v>0</v>
      </c>
      <c r="L20" s="433"/>
      <c r="M20" s="94"/>
    </row>
    <row r="21" spans="1:14" ht="12.95" customHeight="1" thickBot="1" x14ac:dyDescent="0.25">
      <c r="B21" s="435" t="s">
        <v>235</v>
      </c>
      <c r="C21" s="648" t="s">
        <v>232</v>
      </c>
      <c r="D21" s="649"/>
      <c r="E21" s="610"/>
      <c r="F21" s="363"/>
      <c r="G21" s="436" t="s">
        <v>233</v>
      </c>
      <c r="H21" s="437" t="s">
        <v>8</v>
      </c>
      <c r="I21" s="437" t="s">
        <v>323</v>
      </c>
      <c r="J21" s="436" t="s">
        <v>234</v>
      </c>
      <c r="K21" s="436" t="s">
        <v>50</v>
      </c>
      <c r="L21" s="438" t="s">
        <v>246</v>
      </c>
      <c r="M21" s="439"/>
    </row>
    <row r="22" spans="1:14" ht="12.95" customHeight="1" thickBot="1" x14ac:dyDescent="0.25">
      <c r="B22" s="100" t="s">
        <v>142</v>
      </c>
      <c r="C22" s="440">
        <f>IF($C$16=$B$69,'Machinery Calc (Heirloom)'!B32,'Machinery Calc (Heirloom)'!C40)</f>
        <v>1</v>
      </c>
      <c r="D22" s="474">
        <v>1</v>
      </c>
      <c r="E22" s="475" t="s">
        <v>90</v>
      </c>
      <c r="F22" s="441"/>
      <c r="G22" s="442">
        <f>IF(C16=B69,'Machinery Calc (Heirloom)'!U32,'Machinery Calc (Heirloom)'!U40)</f>
        <v>1.6014468749999997</v>
      </c>
      <c r="H22" s="442">
        <f>IF(C16=B69,'Machinery Calc (Heirloom)'!X32,'Machinery Calc (Heirloom)'!X40)</f>
        <v>5.5868648229166675</v>
      </c>
      <c r="I22" s="443">
        <f>IF(C16=B69,'Machinery Calc (Heirloom)'!Y32,'Machinery Calc (Heirloom)'!Y40)</f>
        <v>11.343028579861112</v>
      </c>
      <c r="J22" s="442">
        <f>IF(C16=B69,'Machinery Calc (Heirloom)'!V32+'Machinery Calc (Heirloom)'!W32,'Machinery Calc (Heirloom)'!V40+'Machinery Calc (Heirloom)'!W40)</f>
        <v>1.7697222222222222</v>
      </c>
      <c r="K22" s="442">
        <f>IF(C16=B69,'Machinery Calc (Heirloom)'!Z32,'Machinery Calc (Heirloom)'!Z40)</f>
        <v>0</v>
      </c>
      <c r="L22" s="455">
        <f t="shared" ref="L22:L29" si="0">SUM(G22:K22)</f>
        <v>20.3010625</v>
      </c>
      <c r="M22" s="94"/>
    </row>
    <row r="23" spans="1:14" ht="12.95" customHeight="1" thickBot="1" x14ac:dyDescent="0.25">
      <c r="B23" s="100" t="s">
        <v>280</v>
      </c>
      <c r="C23" s="440">
        <f>IF($C$16=$B$69,'Machinery Calc (Heirloom)'!B63,'Machinery Calc (Heirloom)'!C63)</f>
        <v>2.5</v>
      </c>
      <c r="D23" s="476">
        <v>2.5</v>
      </c>
      <c r="E23" s="475" t="s">
        <v>90</v>
      </c>
      <c r="F23" s="445"/>
      <c r="G23" s="442">
        <f>'Machinery Calc (Heirloom)'!U63</f>
        <v>0.59494531250000005</v>
      </c>
      <c r="H23" s="442">
        <f>'Machinery Calc (Heirloom)'!X63</f>
        <v>5.5398414843750015</v>
      </c>
      <c r="I23" s="443">
        <f>'Machinery Calc (Heirloom)'!Y63</f>
        <v>11.247556953124999</v>
      </c>
      <c r="J23" s="442">
        <f>'Machinery Calc (Heirloom)'!V63+'Machinery Calc (Heirloom)'!W63</f>
        <v>1.29375</v>
      </c>
      <c r="K23" s="442">
        <f>'Machinery Calc (Heirloom)'!Z63</f>
        <v>0</v>
      </c>
      <c r="L23" s="455">
        <f t="shared" si="0"/>
        <v>18.67609375</v>
      </c>
      <c r="M23" s="94"/>
    </row>
    <row r="24" spans="1:14" ht="12.95" customHeight="1" thickBot="1" x14ac:dyDescent="0.25">
      <c r="B24" s="100" t="s">
        <v>392</v>
      </c>
      <c r="C24" s="440">
        <f>IF($C$16=$B$69,'Machinery Calc (Heirloom)'!B56,'Machinery Calc (Heirloom)'!C56)</f>
        <v>2</v>
      </c>
      <c r="D24" s="476">
        <v>2</v>
      </c>
      <c r="E24" s="475" t="s">
        <v>90</v>
      </c>
      <c r="F24" s="441"/>
      <c r="G24" s="442">
        <f>'Machinery Calc (Heirloom)'!U56</f>
        <v>1.3074745263203018</v>
      </c>
      <c r="H24" s="442">
        <f>'Machinery Calc (Heirloom)'!X56</f>
        <v>3.3593742673206259</v>
      </c>
      <c r="I24" s="443">
        <f>'Machinery Calc (Heirloom)'!Y56</f>
        <v>6.820547754863088</v>
      </c>
      <c r="J24" s="442">
        <f>'Machinery Calc (Heirloom)'!V56+'Machinery Calc (Heirloom)'!W56</f>
        <v>1.3501842556797974</v>
      </c>
      <c r="K24" s="442">
        <f>'Machinery Calc (Heirloom)'!Z56</f>
        <v>0</v>
      </c>
      <c r="L24" s="455">
        <f t="shared" si="0"/>
        <v>12.837580804183814</v>
      </c>
      <c r="M24" s="95"/>
    </row>
    <row r="25" spans="1:14" ht="12.95" customHeight="1" thickBot="1" x14ac:dyDescent="0.25">
      <c r="B25" s="100" t="s">
        <v>393</v>
      </c>
      <c r="C25" s="440">
        <f>IF($C$16=$B$69,'Machinery Calc (Heirloom)'!B59,'Machinery Calc (Heirloom)'!C59)</f>
        <v>0</v>
      </c>
      <c r="D25" s="476">
        <v>0</v>
      </c>
      <c r="E25" s="475" t="s">
        <v>90</v>
      </c>
      <c r="F25" s="441"/>
      <c r="G25" s="442">
        <f>'Machinery Calc (Heirloom)'!U59</f>
        <v>0</v>
      </c>
      <c r="H25" s="442">
        <f>'Machinery Calc (Heirloom)'!X59</f>
        <v>0</v>
      </c>
      <c r="I25" s="443">
        <f>'Machinery Calc (Heirloom)'!Y59</f>
        <v>0</v>
      </c>
      <c r="J25" s="442">
        <f>'Machinery Calc (Heirloom)'!V59+'Machinery Calc (Heirloom)'!W59</f>
        <v>0</v>
      </c>
      <c r="K25" s="442">
        <f>'Machinery Calc (Heirloom)'!Z59</f>
        <v>0</v>
      </c>
      <c r="L25" s="455">
        <f t="shared" si="0"/>
        <v>0</v>
      </c>
      <c r="M25" s="95"/>
    </row>
    <row r="26" spans="1:14" ht="12.95" customHeight="1" thickBot="1" x14ac:dyDescent="0.25">
      <c r="B26" s="100" t="s">
        <v>305</v>
      </c>
      <c r="C26" s="440">
        <f>IF($C$16=$B$69,'Machinery Calc (Heirloom)'!B47,'Machinery Calc (Heirloom)'!C47)</f>
        <v>1</v>
      </c>
      <c r="D26" s="476">
        <v>1</v>
      </c>
      <c r="E26" s="475" t="s">
        <v>90</v>
      </c>
      <c r="F26" s="441"/>
      <c r="G26" s="442">
        <f>'Machinery Calc (Heirloom)'!U47</f>
        <v>4.5276218749999995</v>
      </c>
      <c r="H26" s="442">
        <f>'Machinery Calc (Heirloom)'!X47</f>
        <v>7.9658137395833331</v>
      </c>
      <c r="I26" s="443">
        <f>'Machinery Calc (Heirloom)'!Y47</f>
        <v>16.173015774305554</v>
      </c>
      <c r="J26" s="442">
        <f>'Machinery Calc (Heirloom)'!V47+'Machinery Calc (Heirloom)'!W47</f>
        <v>3.2711111111111109</v>
      </c>
      <c r="K26" s="442">
        <f>'Machinery Calc (Heirloom)'!Z47</f>
        <v>0</v>
      </c>
      <c r="L26" s="455">
        <f t="shared" si="0"/>
        <v>31.937562499999999</v>
      </c>
      <c r="M26" s="95"/>
    </row>
    <row r="27" spans="1:14" ht="12.95" customHeight="1" thickBot="1" x14ac:dyDescent="0.25">
      <c r="B27" s="100" t="s">
        <v>47</v>
      </c>
      <c r="C27" s="440">
        <f>IF($C$16=$B$69,'Machinery Calc (Heirloom)'!B50,'Machinery Calc (Heirloom)'!C50)</f>
        <v>1</v>
      </c>
      <c r="D27" s="476">
        <v>1</v>
      </c>
      <c r="E27" s="475" t="s">
        <v>90</v>
      </c>
      <c r="F27" s="441"/>
      <c r="G27" s="442">
        <f>'Machinery Calc (Heirloom)'!U50</f>
        <v>0.32200000000000001</v>
      </c>
      <c r="H27" s="442">
        <f>'Machinery Calc (Heirloom)'!X50</f>
        <v>1.1262900000000002</v>
      </c>
      <c r="I27" s="443">
        <f>'Machinery Calc (Heirloom)'!Y50</f>
        <v>2.2867100000000002</v>
      </c>
      <c r="J27" s="442">
        <f>'Machinery Calc (Heirloom)'!V50+'Machinery Calc (Heirloom)'!W50</f>
        <v>1.7249999999999999</v>
      </c>
      <c r="K27" s="442">
        <f>'Machinery Calc (Heirloom)'!Z50</f>
        <v>0</v>
      </c>
      <c r="L27" s="455">
        <f t="shared" si="0"/>
        <v>5.46</v>
      </c>
      <c r="M27" s="95"/>
    </row>
    <row r="28" spans="1:14" ht="12.95" customHeight="1" thickBot="1" x14ac:dyDescent="0.25">
      <c r="B28" s="100" t="s">
        <v>329</v>
      </c>
      <c r="C28" s="440">
        <f>IF($C$16=$B$69,'Machinery Calc (Heirloom)'!B25,'Machinery Calc (Heirloom)'!C25)</f>
        <v>0</v>
      </c>
      <c r="D28" s="476">
        <v>2</v>
      </c>
      <c r="E28" s="475" t="s">
        <v>90</v>
      </c>
      <c r="F28" s="441"/>
      <c r="G28" s="442">
        <f>'Machinery Calc (Heirloom)'!U25</f>
        <v>0</v>
      </c>
      <c r="H28" s="442">
        <f>'Machinery Calc (Heirloom)'!X25</f>
        <v>0</v>
      </c>
      <c r="I28" s="443">
        <f>'Machinery Calc (Heirloom)'!Y25</f>
        <v>0</v>
      </c>
      <c r="J28" s="442">
        <f>'Machinery Calc (Heirloom)'!V25+'Machinery Calc (Heirloom)'!W25</f>
        <v>0</v>
      </c>
      <c r="K28" s="442">
        <f>'Machinery Calc (Heirloom)'!Z25</f>
        <v>0</v>
      </c>
      <c r="L28" s="455">
        <f t="shared" si="0"/>
        <v>0</v>
      </c>
      <c r="M28" s="94"/>
    </row>
    <row r="29" spans="1:14" ht="12.95" customHeight="1" thickBot="1" x14ac:dyDescent="0.25">
      <c r="B29" s="100" t="s">
        <v>291</v>
      </c>
      <c r="C29" s="440"/>
      <c r="D29" s="477"/>
      <c r="E29" s="478" t="s">
        <v>90</v>
      </c>
      <c r="F29" s="445"/>
      <c r="G29" s="442">
        <f>'Machinery Calc (Heirloom)'!U51</f>
        <v>4.8617763157894736</v>
      </c>
      <c r="H29" s="442">
        <f>'Machinery Calc (Heirloom)'!X51</f>
        <v>3.7705459007635342</v>
      </c>
      <c r="I29" s="443">
        <f>'Machinery Calc (Heirloom)'!Y51</f>
        <v>7.6553507682168727</v>
      </c>
      <c r="J29" s="442">
        <f>'Machinery Calc (Heirloom)'!V51+'Machinery Calc (Heirloom)'!W51</f>
        <v>5.8157894736842115</v>
      </c>
      <c r="K29" s="442">
        <f>'Machinery Calc (Heirloom)'!Z51</f>
        <v>0</v>
      </c>
      <c r="L29" s="455">
        <f t="shared" si="0"/>
        <v>22.103462458454093</v>
      </c>
      <c r="M29" s="94"/>
    </row>
    <row r="30" spans="1:14" ht="5.0999999999999996" customHeight="1" x14ac:dyDescent="0.2">
      <c r="B30" s="636"/>
      <c r="C30" s="637"/>
      <c r="D30" s="637"/>
      <c r="E30" s="638"/>
      <c r="F30" s="637"/>
      <c r="G30" s="637"/>
      <c r="H30" s="637"/>
      <c r="I30" s="637"/>
      <c r="J30" s="637"/>
      <c r="K30" s="637"/>
      <c r="L30" s="639"/>
      <c r="M30" s="94"/>
    </row>
    <row r="31" spans="1:14" ht="12.95" customHeight="1" thickBot="1" x14ac:dyDescent="0.25">
      <c r="B31" s="632" t="s">
        <v>371</v>
      </c>
      <c r="C31" s="633"/>
      <c r="D31" s="633"/>
      <c r="E31" s="634"/>
      <c r="F31" s="633"/>
      <c r="G31" s="633"/>
      <c r="H31" s="633"/>
      <c r="I31" s="633"/>
      <c r="J31" s="633"/>
      <c r="K31" s="633"/>
      <c r="L31" s="635"/>
      <c r="M31" s="94"/>
    </row>
    <row r="32" spans="1:14" ht="12.95" customHeight="1" thickBot="1" x14ac:dyDescent="0.25">
      <c r="B32" s="481" t="s">
        <v>367</v>
      </c>
      <c r="C32" s="446">
        <f>IF(B32=G51,L51,IF(B32=G52,L52,0))</f>
        <v>0</v>
      </c>
      <c r="D32" s="476">
        <v>0.5</v>
      </c>
      <c r="E32" s="475" t="s">
        <v>90</v>
      </c>
      <c r="F32" s="445"/>
      <c r="G32" s="447">
        <f>IF(B32=G50,0,IF(B32=G51,IF(C16=B69,'Machinery Calc (Heirloom)'!U37,'Machinery Calc (Heirloom)'!U44),IF(B32=G52,IF(C16=B69,'Machinery Calc (Heirloom)'!U36,'Machinery Calc (Heirloom)'!U43))))</f>
        <v>0</v>
      </c>
      <c r="H32" s="447">
        <f>IF(B32=G50,0,IF(B32=G51,IF(C16=B69,'Machinery Calc (Heirloom)'!X37,'Machinery Calc (Heirloom)'!X44),IF(B32=G52,IF(C16=B69,'Machinery Calc (Heirloom)'!X36,'Machinery Calc (Heirloom)'!X43))))</f>
        <v>0</v>
      </c>
      <c r="I32" s="448">
        <f>IF(B32=G50,0,IF(B32=G51,IF(C16=B69,'Machinery Calc (Heirloom)'!Y37,'Machinery Calc (Heirloom)'!Y44),IF(B32=G52,IF(C16=B69,'Machinery Calc (Heirloom)'!Y36,'Machinery Calc (Heirloom)'!Y43))))</f>
        <v>0</v>
      </c>
      <c r="J32" s="447">
        <f>IF(B32=G50,0,IF(B32=G51,IF(C16=B69,'Machinery Calc (Heirloom)'!V37+'Machinery Calc (Heirloom)'!W37,'Machinery Calc (Heirloom)'!V44+'Machinery Calc (Heirloom)'!W44),IF(B32=G52,IF(C16=B69,'Machinery Calc (Heirloom)'!V36+'Machinery Calc (Heirloom)'!W36,'Machinery Calc (Heirloom)'!V43+'Machinery Calc (Heirloom)'!W43))))</f>
        <v>0</v>
      </c>
      <c r="K32" s="447">
        <f>IF(B32=G50,0,IF(B32=G51,IF(C16=B69,'Machinery Calc (Heirloom)'!Z37,'Machinery Calc (Heirloom)'!Z44),IF(B32=G52,IF(C16=B69,'Machinery Calc (Heirloom)'!Z36,'Machinery Calc (Heirloom)'!Z43))))</f>
        <v>0</v>
      </c>
      <c r="L32" s="455">
        <f>SUM(G32:K32)</f>
        <v>0</v>
      </c>
      <c r="M32" s="94"/>
      <c r="N32" s="449" t="s">
        <v>331</v>
      </c>
    </row>
    <row r="33" spans="2:18" ht="12.95" customHeight="1" thickBot="1" x14ac:dyDescent="0.25">
      <c r="B33" s="481" t="s">
        <v>369</v>
      </c>
      <c r="C33" s="446">
        <f>IF(B33=G53,0,IF(C16=B68,'Machinery Calc (Heirloom)'!C29,'Machinery Calc (Heirloom)'!B29))</f>
        <v>0</v>
      </c>
      <c r="D33" s="476">
        <v>0.5</v>
      </c>
      <c r="E33" s="475" t="s">
        <v>90</v>
      </c>
      <c r="F33" s="450"/>
      <c r="G33" s="447">
        <f>IF(B33=G54,'Machinery Calc (Heirloom)'!U29,0)</f>
        <v>0</v>
      </c>
      <c r="H33" s="447">
        <f>IF(B33=G54,'Machinery Calc (Heirloom)'!X29,0)</f>
        <v>0</v>
      </c>
      <c r="I33" s="448">
        <f>IF(B33=G54,'Machinery Calc (Heirloom)'!Y29,0)</f>
        <v>0</v>
      </c>
      <c r="J33" s="447">
        <f>IF(B33=G54,'Machinery Calc (Heirloom)'!V29+'Machinery Calc (Heirloom)'!W29,0)</f>
        <v>0</v>
      </c>
      <c r="K33" s="447">
        <f>IF(B33=G54,'Machinery Calc (Heirloom)'!Z29,0)</f>
        <v>0</v>
      </c>
      <c r="L33" s="455">
        <f>SUM(G33:K33)</f>
        <v>0</v>
      </c>
      <c r="N33" s="449" t="s">
        <v>331</v>
      </c>
    </row>
    <row r="34" spans="2:18" ht="12.95" customHeight="1" thickBot="1" x14ac:dyDescent="0.25">
      <c r="B34" s="481" t="s">
        <v>363</v>
      </c>
      <c r="C34" s="446">
        <f>IF(B34=G56,'Machinery Calc (Heirloom)'!B21,IF(B34=G57,'Machinery Calc (Heirloom)'!B22,IF(B34=G58,'Machinery Calc (Heirloom)'!B27,0)))</f>
        <v>0</v>
      </c>
      <c r="D34" s="476">
        <v>0.5</v>
      </c>
      <c r="E34" s="475" t="s">
        <v>90</v>
      </c>
      <c r="F34" s="445"/>
      <c r="G34" s="447">
        <f>IF(B34=G56,'Machinery Calc (Heirloom)'!U21,IF(B34=G57,'Machinery Calc (Heirloom)'!U22,IF(B34=G58,'Machinery Calc (Heirloom)'!U27,0)))</f>
        <v>0</v>
      </c>
      <c r="H34" s="447">
        <f>IF(B34=G56,'Machinery Calc (Heirloom)'!X21,IF(B34=G57,'Machinery Calc (Heirloom)'!X22,IF(B34=G58,'Machinery Calc (Heirloom)'!X27,0)))</f>
        <v>0</v>
      </c>
      <c r="I34" s="448">
        <f>IF(B34=G56,'Machinery Calc (Heirloom)'!Y21,IF(B34=G57,'Machinery Calc (Heirloom)'!Y22,IF(B34=G58,'Machinery Calc (Heirloom)'!Y27,0)))</f>
        <v>0</v>
      </c>
      <c r="J34" s="447">
        <f>IF(B34=G56,'Machinery Calc (Heirloom)'!V21+'Machinery Calc (Heirloom)'!W21,IF(B34=G57,'Machinery Calc (Heirloom)'!V22+'Machinery Calc (Heirloom)'!W22,IF(B34=G58,'Machinery Calc (Heirloom)'!V27+'Machinery Calc (Heirloom)'!W27,0)))</f>
        <v>0</v>
      </c>
      <c r="K34" s="447">
        <f>IF(B34=G56,'Machinery Calc (Heirloom)'!Z21,IF(B34=G57,'Machinery Calc (Heirloom)'!Z22,IF(B34=G58,'Machinery Calc (Heirloom)'!Z27,0)))</f>
        <v>0</v>
      </c>
      <c r="L34" s="455">
        <f>SUM(G34:K34)</f>
        <v>0</v>
      </c>
      <c r="M34" s="94"/>
      <c r="N34" s="449" t="s">
        <v>331</v>
      </c>
    </row>
    <row r="35" spans="2:18" ht="12.95" customHeight="1" thickBot="1" x14ac:dyDescent="0.25">
      <c r="B35" s="481" t="s">
        <v>363</v>
      </c>
      <c r="C35" s="451">
        <f>IF(B35=G60,'Machinery Calc (Heirloom)'!B21,IF(B35=G61,'Machinery Calc (Heirloom)'!B22,IF(B35=G62,'Machinery Calc (Heirloom)'!B27,0)))</f>
        <v>0</v>
      </c>
      <c r="D35" s="476">
        <v>0.5</v>
      </c>
      <c r="E35" s="475" t="s">
        <v>90</v>
      </c>
      <c r="F35" s="445"/>
      <c r="G35" s="447">
        <f>IF(B35=G60,'Machinery Calc (Heirloom)'!U21,IF(B35=G61,'Machinery Calc (Heirloom)'!U22,IF(B35=G62,'Machinery Calc (Heirloom)'!U27,0)))</f>
        <v>0</v>
      </c>
      <c r="H35" s="447">
        <f>IF(B35=G60,'Machinery Calc (Heirloom)'!X21,IF(B35=G61,'Machinery Calc (Heirloom)'!X22,IF(B35=G62,'Machinery Calc (Heirloom)'!X27,0)))</f>
        <v>0</v>
      </c>
      <c r="I35" s="448">
        <f>IF(B35=G60,'Machinery Calc (Heirloom)'!Y21,IF(B35=G61,'Machinery Calc (Heirloom)'!Y22,IF(B35=G62,'Machinery Calc (Heirloom)'!Y27,0)))</f>
        <v>0</v>
      </c>
      <c r="J35" s="447">
        <f>IF(B35=G60,'Machinery Calc (Heirloom)'!V21+'Machinery Calc (Heirloom)'!W21,IF(B35=G61,'Machinery Calc (Heirloom)'!V22+'Machinery Calc (Heirloom)'!W22,IF(B35=G62,'Machinery Calc (Heirloom)'!V27+'Machinery Calc (Heirloom)'!W27,0)))</f>
        <v>0</v>
      </c>
      <c r="K35" s="447">
        <f>IF(B35=G60,'Machinery Calc (Heirloom)'!Z21,IF(B35=G61,'Machinery Calc (Heirloom)'!Z22,IF(B35=G62,'Machinery Calc (Heirloom)'!Z27,0)))</f>
        <v>0</v>
      </c>
      <c r="L35" s="455">
        <f>SUM(G35:K35)</f>
        <v>0</v>
      </c>
      <c r="M35" s="94"/>
      <c r="N35" s="449" t="s">
        <v>331</v>
      </c>
    </row>
    <row r="36" spans="2:18" ht="12.95" customHeight="1" x14ac:dyDescent="0.2">
      <c r="B36" s="452"/>
      <c r="C36" s="653" t="s">
        <v>460</v>
      </c>
      <c r="D36" s="654"/>
      <c r="E36" s="660"/>
      <c r="F36" s="661"/>
      <c r="G36" s="661"/>
      <c r="H36" s="661"/>
      <c r="I36" s="661"/>
      <c r="J36" s="661"/>
      <c r="K36" s="661"/>
      <c r="L36" s="654"/>
      <c r="M36" s="94"/>
    </row>
    <row r="37" spans="2:18" ht="12.95" customHeight="1" x14ac:dyDescent="0.2">
      <c r="B37" s="100" t="s">
        <v>458</v>
      </c>
      <c r="C37" s="655">
        <f>IF(C10=B73,C11,D11)</f>
        <v>0.75</v>
      </c>
      <c r="D37" s="656"/>
      <c r="E37" s="453"/>
      <c r="F37" s="454"/>
      <c r="G37" s="447" t="s">
        <v>288</v>
      </c>
      <c r="H37" s="447" t="s">
        <v>288</v>
      </c>
      <c r="I37" s="443" t="s">
        <v>288</v>
      </c>
      <c r="J37" s="447">
        <f>'Machinery Calc (Heirloom)'!V71+'Machinery Calc (Heirloom)'!W71</f>
        <v>11.25</v>
      </c>
      <c r="K37" s="443" t="s">
        <v>288</v>
      </c>
      <c r="L37" s="455">
        <f>SUM(G37:K37)</f>
        <v>11.25</v>
      </c>
      <c r="M37" s="94"/>
      <c r="N37" s="94"/>
      <c r="O37" s="94"/>
      <c r="P37" s="94"/>
      <c r="Q37" s="94"/>
      <c r="R37" s="94"/>
    </row>
    <row r="38" spans="2:18" ht="12.95" customHeight="1" x14ac:dyDescent="0.2">
      <c r="B38" s="454" t="s">
        <v>459</v>
      </c>
      <c r="C38" s="655">
        <f>IF(C10=B73,C12,D12)</f>
        <v>0.35</v>
      </c>
      <c r="D38" s="656"/>
      <c r="E38" s="456"/>
      <c r="F38" s="100"/>
      <c r="G38" s="447">
        <f>'Machinery Calc (Heirloom)'!U72</f>
        <v>0.61249999999999993</v>
      </c>
      <c r="H38" s="447" t="s">
        <v>288</v>
      </c>
      <c r="I38" s="443" t="s">
        <v>288</v>
      </c>
      <c r="J38" s="448" t="s">
        <v>288</v>
      </c>
      <c r="K38" s="443" t="s">
        <v>288</v>
      </c>
      <c r="L38" s="455">
        <f>SUM(G38:K38)</f>
        <v>0.61249999999999993</v>
      </c>
      <c r="M38" s="94"/>
      <c r="N38" s="94"/>
      <c r="O38" s="94"/>
      <c r="P38" s="94"/>
      <c r="Q38" s="94"/>
      <c r="R38" s="94"/>
    </row>
    <row r="39" spans="2:18" ht="12.95" customHeight="1" x14ac:dyDescent="0.2">
      <c r="B39" s="636"/>
      <c r="C39" s="637"/>
      <c r="D39" s="637"/>
      <c r="E39" s="637"/>
      <c r="F39" s="637"/>
      <c r="G39" s="637"/>
      <c r="H39" s="637"/>
      <c r="I39" s="637"/>
      <c r="J39" s="637"/>
      <c r="K39" s="637"/>
      <c r="L39" s="639"/>
      <c r="M39" s="94"/>
      <c r="N39" s="94"/>
      <c r="O39" s="94"/>
      <c r="P39" s="94"/>
      <c r="Q39" s="94"/>
      <c r="R39" s="94"/>
    </row>
    <row r="40" spans="2:18" ht="12.95" customHeight="1" x14ac:dyDescent="0.2">
      <c r="B40" s="657" t="s">
        <v>332</v>
      </c>
      <c r="C40" s="658"/>
      <c r="D40" s="658"/>
      <c r="E40" s="658"/>
      <c r="F40" s="659"/>
      <c r="G40" s="457">
        <f t="shared" ref="G40:L40" si="1">SUM(G22:G38)</f>
        <v>13.827764904609776</v>
      </c>
      <c r="H40" s="457">
        <f t="shared" si="1"/>
        <v>27.348730214959161</v>
      </c>
      <c r="I40" s="458">
        <f t="shared" si="1"/>
        <v>55.52620983037162</v>
      </c>
      <c r="J40" s="457">
        <f t="shared" si="1"/>
        <v>26.475557062697341</v>
      </c>
      <c r="K40" s="457">
        <f t="shared" si="1"/>
        <v>0</v>
      </c>
      <c r="L40" s="455">
        <f t="shared" si="1"/>
        <v>123.1782620126379</v>
      </c>
      <c r="M40" s="94"/>
      <c r="N40" s="94"/>
      <c r="O40" s="94"/>
      <c r="P40" s="94"/>
      <c r="Q40" s="94"/>
      <c r="R40" s="94"/>
    </row>
    <row r="41" spans="2:18" x14ac:dyDescent="0.2">
      <c r="B41" s="459"/>
      <c r="C41" s="95"/>
      <c r="D41" s="460"/>
      <c r="E41" s="460"/>
      <c r="F41" s="95"/>
      <c r="G41" s="461"/>
      <c r="H41" s="461"/>
      <c r="I41" s="461"/>
      <c r="J41" s="461"/>
      <c r="K41" s="461"/>
      <c r="L41" s="461"/>
      <c r="M41" s="94"/>
      <c r="N41" s="94"/>
      <c r="O41" s="94"/>
      <c r="P41" s="94"/>
      <c r="Q41" s="94"/>
      <c r="R41" s="94"/>
    </row>
    <row r="42" spans="2:18" x14ac:dyDescent="0.2">
      <c r="B42" s="459"/>
      <c r="C42" s="95"/>
      <c r="D42" s="460"/>
      <c r="E42" s="460"/>
      <c r="F42" s="95"/>
      <c r="G42" s="461"/>
      <c r="H42" s="461"/>
      <c r="I42" s="461"/>
      <c r="J42" s="461"/>
      <c r="K42" s="461"/>
      <c r="L42" s="461"/>
      <c r="M42" s="94"/>
      <c r="N42" s="94"/>
      <c r="O42" s="94"/>
      <c r="P42" s="94"/>
      <c r="Q42" s="94"/>
      <c r="R42" s="94"/>
    </row>
    <row r="43" spans="2:18" x14ac:dyDescent="0.2">
      <c r="B43" s="459"/>
      <c r="C43" s="95"/>
      <c r="D43" s="462"/>
      <c r="E43" s="460"/>
      <c r="F43" s="95"/>
      <c r="G43" s="461"/>
      <c r="H43" s="461"/>
      <c r="I43" s="461"/>
      <c r="J43" s="461"/>
      <c r="K43" s="461"/>
      <c r="L43" s="461"/>
      <c r="M43" s="94"/>
      <c r="N43" s="94"/>
      <c r="O43" s="94"/>
      <c r="P43" s="94"/>
      <c r="Q43" s="94"/>
      <c r="R43" s="94"/>
    </row>
    <row r="44" spans="2:18" x14ac:dyDescent="0.2">
      <c r="B44" s="459"/>
      <c r="C44" s="95"/>
      <c r="D44" s="462"/>
      <c r="E44" s="460"/>
      <c r="F44" s="95"/>
      <c r="G44" s="461"/>
      <c r="H44" s="461"/>
      <c r="I44" s="461"/>
      <c r="J44" s="461"/>
      <c r="K44" s="461"/>
      <c r="L44" s="461"/>
      <c r="M44" s="94"/>
      <c r="N44" s="94"/>
      <c r="O44" s="94"/>
      <c r="P44" s="94"/>
      <c r="Q44" s="94"/>
      <c r="R44" s="94"/>
    </row>
    <row r="45" spans="2:18" x14ac:dyDescent="0.2">
      <c r="B45" s="459"/>
      <c r="C45" s="95"/>
      <c r="D45" s="462"/>
      <c r="E45" s="460"/>
      <c r="F45" s="95"/>
      <c r="G45" s="461"/>
      <c r="H45" s="461"/>
      <c r="I45" s="461"/>
      <c r="J45" s="461"/>
      <c r="K45" s="461"/>
      <c r="L45" s="461"/>
      <c r="M45" s="94"/>
      <c r="N45" s="94"/>
      <c r="O45" s="94"/>
      <c r="P45" s="94"/>
      <c r="Q45" s="94"/>
      <c r="R45" s="94"/>
    </row>
    <row r="46" spans="2:18" x14ac:dyDescent="0.2">
      <c r="D46" s="462"/>
      <c r="E46" s="344"/>
      <c r="F46" s="344"/>
      <c r="G46" s="344"/>
      <c r="H46" s="344"/>
      <c r="M46" s="94"/>
      <c r="N46" s="94"/>
      <c r="O46" s="94"/>
      <c r="P46" s="94"/>
      <c r="Q46" s="94"/>
      <c r="R46" s="94"/>
    </row>
    <row r="49" spans="2:15" hidden="1" x14ac:dyDescent="0.2">
      <c r="B49" s="421" t="s">
        <v>51</v>
      </c>
      <c r="F49" s="340"/>
      <c r="G49" s="463"/>
      <c r="H49" s="463"/>
      <c r="I49" s="464" t="s">
        <v>228</v>
      </c>
      <c r="J49" s="464" t="s">
        <v>364</v>
      </c>
      <c r="K49" s="464"/>
      <c r="L49" s="421" t="s">
        <v>365</v>
      </c>
    </row>
    <row r="50" spans="2:15" hidden="1" x14ac:dyDescent="0.2">
      <c r="B50" s="421" t="s">
        <v>90</v>
      </c>
      <c r="F50" s="465" t="s">
        <v>346</v>
      </c>
      <c r="G50" s="94" t="s">
        <v>367</v>
      </c>
      <c r="H50" s="94"/>
      <c r="I50" s="466"/>
      <c r="J50" s="466"/>
      <c r="K50" s="466"/>
    </row>
    <row r="51" spans="2:15" hidden="1" x14ac:dyDescent="0.2">
      <c r="D51" s="94"/>
      <c r="E51" s="94"/>
      <c r="F51" s="340"/>
      <c r="G51" s="94" t="s">
        <v>358</v>
      </c>
      <c r="H51" s="94"/>
      <c r="I51" s="466">
        <f>IF(B32=G51,'Machinery Calc (Heirloom)'!C44,0)</f>
        <v>0</v>
      </c>
      <c r="J51" s="466">
        <f>IF(B32=G51,'Machinery Calc (Heirloom)'!B37,0)</f>
        <v>0</v>
      </c>
      <c r="K51" s="466"/>
      <c r="L51" s="421">
        <f>IF($C$16=$B$68,I51,J51)</f>
        <v>0</v>
      </c>
    </row>
    <row r="52" spans="2:15" hidden="1" x14ac:dyDescent="0.2">
      <c r="B52" s="421" t="s">
        <v>79</v>
      </c>
      <c r="D52" s="94"/>
      <c r="E52" s="94"/>
      <c r="F52" s="340"/>
      <c r="G52" s="344" t="s">
        <v>359</v>
      </c>
      <c r="H52" s="95"/>
      <c r="I52" s="466">
        <f>IF(B32=G52,'Machinery Calc (Heirloom)'!C43,0)</f>
        <v>0</v>
      </c>
      <c r="J52" s="466">
        <f>IF(B32=G52,'Machinery Calc (Heirloom)'!B36,0)</f>
        <v>0</v>
      </c>
      <c r="K52" s="466"/>
      <c r="L52" s="421">
        <f>IF($C$16=$B$68,I52,J52)</f>
        <v>0</v>
      </c>
    </row>
    <row r="53" spans="2:15" hidden="1" x14ac:dyDescent="0.2">
      <c r="B53" s="421" t="s">
        <v>80</v>
      </c>
      <c r="D53" s="94"/>
      <c r="E53" s="94"/>
      <c r="F53" s="465" t="s">
        <v>347</v>
      </c>
      <c r="G53" s="421" t="s">
        <v>369</v>
      </c>
      <c r="H53" s="94"/>
      <c r="I53" s="466">
        <f>IF(B33=G54,'Machinery Calc (Heirloom)'!C29,0)</f>
        <v>0</v>
      </c>
      <c r="J53" s="466">
        <f>IF(B33=G54,'Machinery Calc (Heirloom)'!B29,0)</f>
        <v>0</v>
      </c>
      <c r="K53" s="466"/>
    </row>
    <row r="54" spans="2:15" hidden="1" x14ac:dyDescent="0.2">
      <c r="B54" s="421" t="s">
        <v>255</v>
      </c>
      <c r="D54" s="94"/>
      <c r="E54" s="94"/>
      <c r="F54" s="340"/>
      <c r="G54" s="421" t="s">
        <v>368</v>
      </c>
      <c r="H54" s="95"/>
      <c r="I54" s="464"/>
      <c r="J54" s="464"/>
      <c r="K54" s="464"/>
    </row>
    <row r="55" spans="2:15" hidden="1" x14ac:dyDescent="0.2">
      <c r="D55" s="94"/>
      <c r="E55" s="94"/>
      <c r="F55" s="467" t="s">
        <v>351</v>
      </c>
      <c r="G55" s="95" t="s">
        <v>363</v>
      </c>
      <c r="H55" s="343"/>
      <c r="I55" s="464"/>
      <c r="J55" s="464"/>
      <c r="K55" s="464"/>
    </row>
    <row r="56" spans="2:15" hidden="1" x14ac:dyDescent="0.2">
      <c r="B56" s="421" t="s">
        <v>222</v>
      </c>
      <c r="D56" s="94"/>
      <c r="E56" s="94"/>
      <c r="F56" s="467"/>
      <c r="G56" s="344" t="s">
        <v>360</v>
      </c>
      <c r="H56" s="343"/>
      <c r="I56" s="464"/>
      <c r="J56" s="468"/>
      <c r="K56" s="468"/>
    </row>
    <row r="57" spans="2:15" hidden="1" x14ac:dyDescent="0.2">
      <c r="B57" s="421" t="s">
        <v>223</v>
      </c>
      <c r="D57" s="94"/>
      <c r="E57" s="94"/>
      <c r="F57" s="344"/>
      <c r="G57" s="95" t="s">
        <v>361</v>
      </c>
      <c r="H57" s="343"/>
      <c r="I57" s="464"/>
      <c r="J57" s="469"/>
      <c r="K57" s="469"/>
    </row>
    <row r="58" spans="2:15" hidden="1" x14ac:dyDescent="0.2">
      <c r="G58" s="95" t="s">
        <v>362</v>
      </c>
      <c r="H58" s="343"/>
      <c r="I58" s="464"/>
      <c r="J58" s="469"/>
      <c r="K58" s="469"/>
    </row>
    <row r="59" spans="2:15" hidden="1" x14ac:dyDescent="0.2">
      <c r="F59" s="467" t="s">
        <v>352</v>
      </c>
      <c r="G59" s="95" t="s">
        <v>363</v>
      </c>
      <c r="H59" s="343"/>
      <c r="I59" s="464"/>
      <c r="J59" s="469"/>
      <c r="K59" s="469"/>
    </row>
    <row r="60" spans="2:15" hidden="1" x14ac:dyDescent="0.2">
      <c r="F60" s="344"/>
      <c r="G60" s="344" t="s">
        <v>360</v>
      </c>
      <c r="H60" s="343"/>
      <c r="I60" s="464"/>
      <c r="J60" s="469"/>
      <c r="K60" s="469"/>
    </row>
    <row r="61" spans="2:15" hidden="1" x14ac:dyDescent="0.2">
      <c r="B61" s="421" t="s">
        <v>242</v>
      </c>
      <c r="F61" s="343"/>
      <c r="G61" s="95" t="s">
        <v>361</v>
      </c>
      <c r="H61" s="94"/>
      <c r="I61" s="464"/>
      <c r="J61" s="469"/>
      <c r="K61" s="469"/>
    </row>
    <row r="62" spans="2:15" hidden="1" x14ac:dyDescent="0.2">
      <c r="B62" s="421" t="s">
        <v>318</v>
      </c>
      <c r="F62" s="470"/>
      <c r="G62" s="95" t="s">
        <v>362</v>
      </c>
      <c r="I62" s="470"/>
      <c r="J62" s="469"/>
      <c r="K62" s="469"/>
    </row>
    <row r="63" spans="2:15" hidden="1" x14ac:dyDescent="0.2">
      <c r="G63" s="94"/>
      <c r="I63" s="471"/>
      <c r="J63" s="471"/>
      <c r="K63" s="471"/>
      <c r="N63" s="94"/>
      <c r="O63" s="94"/>
    </row>
    <row r="64" spans="2:15" hidden="1" x14ac:dyDescent="0.2">
      <c r="B64" s="421" t="s">
        <v>244</v>
      </c>
      <c r="G64" s="94"/>
      <c r="I64" s="471"/>
      <c r="J64" s="471"/>
      <c r="K64" s="471"/>
      <c r="N64" s="94"/>
      <c r="O64" s="94"/>
    </row>
    <row r="65" spans="2:15" hidden="1" x14ac:dyDescent="0.2">
      <c r="B65" s="421" t="s">
        <v>243</v>
      </c>
      <c r="G65" s="94"/>
      <c r="I65" s="471"/>
      <c r="J65" s="471"/>
      <c r="K65" s="471"/>
      <c r="N65" s="94"/>
      <c r="O65" s="94"/>
    </row>
    <row r="66" spans="2:15" hidden="1" x14ac:dyDescent="0.2">
      <c r="G66" s="94"/>
      <c r="I66" s="471"/>
      <c r="J66" s="471"/>
      <c r="K66" s="471"/>
      <c r="N66" s="94"/>
      <c r="O66" s="94"/>
    </row>
    <row r="67" spans="2:15" hidden="1" x14ac:dyDescent="0.2">
      <c r="F67" s="465"/>
      <c r="G67" s="95"/>
      <c r="I67" s="470"/>
      <c r="J67" s="470"/>
      <c r="K67" s="470"/>
      <c r="N67" s="94"/>
      <c r="O67" s="94"/>
    </row>
    <row r="68" spans="2:15" hidden="1" x14ac:dyDescent="0.2">
      <c r="B68" s="421" t="s">
        <v>226</v>
      </c>
      <c r="F68" s="465"/>
      <c r="G68" s="94"/>
      <c r="I68" s="470"/>
      <c r="J68" s="470"/>
      <c r="K68" s="470"/>
      <c r="L68" s="94"/>
      <c r="M68" s="94"/>
      <c r="N68" s="94"/>
      <c r="O68" s="94"/>
    </row>
    <row r="69" spans="2:15" hidden="1" x14ac:dyDescent="0.2">
      <c r="B69" s="421" t="s">
        <v>236</v>
      </c>
      <c r="G69" s="94"/>
      <c r="I69" s="471"/>
      <c r="J69" s="471"/>
      <c r="K69" s="471"/>
      <c r="M69" s="94"/>
      <c r="N69" s="94"/>
      <c r="O69" s="94"/>
    </row>
    <row r="70" spans="2:15" hidden="1" x14ac:dyDescent="0.2">
      <c r="G70" s="94"/>
      <c r="I70" s="471"/>
      <c r="J70" s="471"/>
      <c r="K70" s="471"/>
    </row>
    <row r="71" spans="2:15" hidden="1" x14ac:dyDescent="0.2">
      <c r="G71" s="94"/>
      <c r="I71" s="471"/>
      <c r="J71" s="471"/>
      <c r="K71" s="471"/>
    </row>
    <row r="72" spans="2:15" hidden="1" x14ac:dyDescent="0.2">
      <c r="B72" s="415" t="s">
        <v>391</v>
      </c>
      <c r="G72" s="94"/>
      <c r="I72" s="471"/>
      <c r="J72" s="471"/>
      <c r="K72" s="471"/>
    </row>
    <row r="73" spans="2:15" hidden="1" x14ac:dyDescent="0.2">
      <c r="B73" s="415" t="s">
        <v>366</v>
      </c>
      <c r="F73" s="465"/>
      <c r="G73" s="95"/>
      <c r="I73" s="470"/>
      <c r="J73" s="470"/>
      <c r="K73" s="470"/>
    </row>
    <row r="74" spans="2:15" hidden="1" x14ac:dyDescent="0.2">
      <c r="B74" s="94"/>
    </row>
    <row r="75" spans="2:15" x14ac:dyDescent="0.2">
      <c r="B75" s="95"/>
    </row>
    <row r="76" spans="2:15" x14ac:dyDescent="0.2">
      <c r="B76" s="95"/>
    </row>
    <row r="77" spans="2:15" x14ac:dyDescent="0.2">
      <c r="B77" s="95"/>
    </row>
    <row r="78" spans="2:15" x14ac:dyDescent="0.2">
      <c r="B78" s="95"/>
    </row>
    <row r="79" spans="2:15" x14ac:dyDescent="0.2">
      <c r="B79" s="95"/>
    </row>
    <row r="80" spans="2:15" x14ac:dyDescent="0.2">
      <c r="B80" s="95"/>
    </row>
    <row r="81" spans="2:11" x14ac:dyDescent="0.2">
      <c r="B81" s="95"/>
    </row>
    <row r="82" spans="2:11" x14ac:dyDescent="0.2">
      <c r="B82" s="95"/>
      <c r="H82" s="344"/>
      <c r="I82" s="344"/>
      <c r="J82" s="344"/>
      <c r="K82" s="344"/>
    </row>
    <row r="83" spans="2:11" x14ac:dyDescent="0.2">
      <c r="B83" s="95"/>
      <c r="H83" s="344"/>
      <c r="I83" s="344"/>
      <c r="J83" s="344"/>
      <c r="K83" s="344"/>
    </row>
    <row r="84" spans="2:11" x14ac:dyDescent="0.2">
      <c r="H84" s="344"/>
      <c r="I84" s="344"/>
      <c r="J84" s="344"/>
      <c r="K84" s="344"/>
    </row>
    <row r="85" spans="2:11" x14ac:dyDescent="0.2">
      <c r="H85" s="344"/>
      <c r="I85" s="344"/>
      <c r="J85" s="344"/>
      <c r="K85" s="344"/>
    </row>
    <row r="87" spans="2:11" x14ac:dyDescent="0.2">
      <c r="H87" s="344"/>
    </row>
  </sheetData>
  <sheetProtection algorithmName="SHA-512" hashValue="qL4gvtUu+noSPn6oYqbx9FoJudzcrUrlXpMFWTjAsXTsxuyDSLv8oWPkdbklmBlJ+xkCRbP2xnoigjCJ4xAS5Q==" saltValue="m6YIVzIolNDPPtNlalti3A==" spinCount="100000" sheet="1" objects="1" scenarios="1" formatCells="0" formatColumns="0" formatRows="0"/>
  <mergeCells count="38">
    <mergeCell ref="B2:L2"/>
    <mergeCell ref="B3:L3"/>
    <mergeCell ref="C4:D4"/>
    <mergeCell ref="E4:L4"/>
    <mergeCell ref="C5:D5"/>
    <mergeCell ref="E5:L5"/>
    <mergeCell ref="E12:L12"/>
    <mergeCell ref="C6:D6"/>
    <mergeCell ref="E6:L6"/>
    <mergeCell ref="C7:D7"/>
    <mergeCell ref="E7:L7"/>
    <mergeCell ref="C8:D8"/>
    <mergeCell ref="E8:L8"/>
    <mergeCell ref="C9:D9"/>
    <mergeCell ref="E9:L9"/>
    <mergeCell ref="C10:D10"/>
    <mergeCell ref="E10:L10"/>
    <mergeCell ref="E11:L11"/>
    <mergeCell ref="B30:L30"/>
    <mergeCell ref="G13:M13"/>
    <mergeCell ref="B14:L14"/>
    <mergeCell ref="B15:L15"/>
    <mergeCell ref="C16:E16"/>
    <mergeCell ref="G16:L16"/>
    <mergeCell ref="C17:E17"/>
    <mergeCell ref="G17:L17"/>
    <mergeCell ref="B18:L18"/>
    <mergeCell ref="C19:D19"/>
    <mergeCell ref="C20:D20"/>
    <mergeCell ref="E20:E21"/>
    <mergeCell ref="C21:D21"/>
    <mergeCell ref="B40:F40"/>
    <mergeCell ref="B31:L31"/>
    <mergeCell ref="C36:D36"/>
    <mergeCell ref="E36:L36"/>
    <mergeCell ref="C37:D37"/>
    <mergeCell ref="C38:D38"/>
    <mergeCell ref="B39:L39"/>
  </mergeCells>
  <conditionalFormatting sqref="D22:E29 K19:K20 D32:E35 K40">
    <cfRule type="expression" dxfId="93" priority="23">
      <formula>$C$17=$B$73</formula>
    </cfRule>
  </conditionalFormatting>
  <conditionalFormatting sqref="D11:D12">
    <cfRule type="expression" dxfId="92" priority="24">
      <formula>$C$10=$B$73</formula>
    </cfRule>
  </conditionalFormatting>
  <conditionalFormatting sqref="G20">
    <cfRule type="expression" dxfId="91" priority="25">
      <formula>$G$19=$B$54</formula>
    </cfRule>
  </conditionalFormatting>
  <conditionalFormatting sqref="H20">
    <cfRule type="expression" dxfId="90" priority="26">
      <formula>$H$19=$B$54</formula>
    </cfRule>
  </conditionalFormatting>
  <conditionalFormatting sqref="I20">
    <cfRule type="expression" dxfId="89" priority="27">
      <formula>$I$19=$B$54</formula>
    </cfRule>
  </conditionalFormatting>
  <conditionalFormatting sqref="J20:K20">
    <cfRule type="expression" dxfId="88" priority="28">
      <formula>$J$19=$B$54</formula>
    </cfRule>
  </conditionalFormatting>
  <conditionalFormatting sqref="B34:F35 N34:N35 B28:F28 L28 L34:L35">
    <cfRule type="expression" dxfId="87" priority="29">
      <formula>$C$16=$B$68</formula>
    </cfRule>
  </conditionalFormatting>
  <conditionalFormatting sqref="D32:E32">
    <cfRule type="expression" dxfId="86" priority="21">
      <formula>$B$32=$G$50</formula>
    </cfRule>
  </conditionalFormatting>
  <conditionalFormatting sqref="D33:E33">
    <cfRule type="expression" dxfId="85" priority="20">
      <formula>$B$33=$G$53</formula>
    </cfRule>
  </conditionalFormatting>
  <conditionalFormatting sqref="D34:E34">
    <cfRule type="expression" dxfId="84" priority="19">
      <formula>$B$34=$G$55</formula>
    </cfRule>
  </conditionalFormatting>
  <conditionalFormatting sqref="D35:E35">
    <cfRule type="expression" dxfId="83" priority="18">
      <formula>$B$35=$G$59</formula>
    </cfRule>
  </conditionalFormatting>
  <conditionalFormatting sqref="E22:E29 E32:E35">
    <cfRule type="expression" dxfId="82" priority="16">
      <formula>$C$17=$B$73</formula>
    </cfRule>
  </conditionalFormatting>
  <conditionalFormatting sqref="K22:K29">
    <cfRule type="expression" dxfId="81" priority="11">
      <formula>$C$17=$B$73</formula>
    </cfRule>
  </conditionalFormatting>
  <conditionalFormatting sqref="G28:K28">
    <cfRule type="expression" dxfId="80" priority="12">
      <formula>$C$16=$B$68</formula>
    </cfRule>
  </conditionalFormatting>
  <conditionalFormatting sqref="K28">
    <cfRule type="expression" dxfId="79" priority="10">
      <formula>$C$16=$B$68</formula>
    </cfRule>
  </conditionalFormatting>
  <conditionalFormatting sqref="K32:K35">
    <cfRule type="expression" dxfId="78" priority="7">
      <formula>$C$17=$B$73</formula>
    </cfRule>
  </conditionalFormatting>
  <conditionalFormatting sqref="G34:K35">
    <cfRule type="expression" dxfId="77" priority="8">
      <formula>$C$16=$B$68</formula>
    </cfRule>
  </conditionalFormatting>
  <conditionalFormatting sqref="K37:K38">
    <cfRule type="expression" dxfId="76" priority="5">
      <formula>$C$17=$B$73</formula>
    </cfRule>
  </conditionalFormatting>
  <dataValidations count="9">
    <dataValidation type="list" allowBlank="1" showInputMessage="1" showErrorMessage="1" sqref="G19:K19">
      <formula1>$B$52:$B$54</formula1>
    </dataValidation>
    <dataValidation type="list" allowBlank="1" showInputMessage="1" showErrorMessage="1" sqref="C16:E16">
      <formula1>$B$68:$B$69</formula1>
    </dataValidation>
    <dataValidation type="list" allowBlank="1" showInputMessage="1" showErrorMessage="1" sqref="C10:D10">
      <formula1>$B$72:$B$73</formula1>
    </dataValidation>
    <dataValidation type="list" allowBlank="1" showInputMessage="1" showErrorMessage="1" prompt="If you select &quot;Enter&quot; the default number of trips will be visible, but calculations will be based off of the number of trips entered. _x000a__x000a_If &quot;Custom Work&quot; applies to any machinery operations, select &quot;Y&quot; in the Custom Work column. " sqref="C17:E17">
      <formula1>$B$72:$B$73</formula1>
    </dataValidation>
    <dataValidation type="list" allowBlank="1" showInputMessage="1" showErrorMessage="1" sqref="C7 E32:E35 E22:E29">
      <formula1>$B$49:$B$50</formula1>
    </dataValidation>
    <dataValidation type="list" allowBlank="1" showInputMessage="1" showErrorMessage="1" sqref="B33">
      <formula1>$G$53:$G$54</formula1>
    </dataValidation>
    <dataValidation type="list" allowBlank="1" showInputMessage="1" showErrorMessage="1" sqref="B32">
      <formula1>$G$50:$G$52</formula1>
    </dataValidation>
    <dataValidation type="list" allowBlank="1" showInputMessage="1" showErrorMessage="1" prompt="Make sure that the additional tillage option selected here is not the same as above or costs will be included twice on the Machinery Operations chart. " sqref="B35">
      <formula1>$G$59:$G$62</formula1>
    </dataValidation>
    <dataValidation type="list" allowBlank="1" showInputMessage="1" showErrorMessage="1" sqref="B34">
      <formula1>$G$55:$G$58</formula1>
    </dataValidation>
  </dataValidations>
  <pageMargins left="0.75" right="0.75" top="1" bottom="1" header="0.5" footer="0.5"/>
  <pageSetup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0" id="{2E372776-F20C-4CD6-96E4-819186D1BC79}">
            <xm:f>Heirloom!$C$27=Heirloom!$C$85</xm:f>
            <x14:dxf>
              <font>
                <color theme="0"/>
              </font>
            </x14:dxf>
          </x14:cfRule>
          <x14:cfRule type="expression" priority="31" id="{F70B6691-3D51-4E47-8B4A-CB2E18A1C719}">
            <xm:f>Heirloom!$D$26=Heirloom!$C$70</xm:f>
            <x14:dxf>
              <font>
                <color theme="0"/>
              </font>
            </x14:dxf>
          </x14:cfRule>
          <xm:sqref>B29:F29 L29</xm:sqref>
        </x14:conditionalFormatting>
        <x14:conditionalFormatting xmlns:xm="http://schemas.microsoft.com/office/excel/2006/main">
          <x14:cfRule type="expression" priority="17" id="{3C48FA8E-A60E-4CD1-9244-20C9BD259714}">
            <xm:f>Heirloom!$I$21=GMO!$D$60</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15" id="{05814D97-48B6-4A69-B833-5D64FF884287}">
            <xm:f>Heirloom!$I$21=Heirloom!$D$60</xm:f>
            <x14:dxf>
              <font>
                <color theme="0"/>
              </font>
              <fill>
                <patternFill patternType="none">
                  <bgColor auto="1"/>
                </patternFill>
              </fill>
              <border>
                <left/>
                <right/>
                <top/>
                <bottom/>
                <vertical/>
                <horizontal/>
              </border>
            </x14:dxf>
          </x14:cfRule>
          <xm:sqref>B2:L9 B15:N21 B30:N31 B22:F29 L22:N29 B36:N36 B32:F35 L32:N35 B39:N40 C37:F38 L37:N38 C11:L12 C10:D10</xm:sqref>
        </x14:conditionalFormatting>
        <x14:conditionalFormatting xmlns:xm="http://schemas.microsoft.com/office/excel/2006/main">
          <x14:cfRule type="expression" priority="13" id="{2D9B899D-A601-4AA4-88AB-A8663F88BF0F}">
            <xm:f>GMO!$C$27=GMO!$C$85</xm:f>
            <x14:dxf>
              <font>
                <color theme="0"/>
              </font>
            </x14:dxf>
          </x14:cfRule>
          <x14:cfRule type="expression" priority="14" id="{854E0B01-0BC0-4FA5-B30F-103055039911}">
            <xm:f>GMO!$D$26=GMO!$C$70</xm:f>
            <x14:dxf>
              <font>
                <color theme="0"/>
              </font>
            </x14:dxf>
          </x14:cfRule>
          <xm:sqref>G29:K29</xm:sqref>
        </x14:conditionalFormatting>
        <x14:conditionalFormatting xmlns:xm="http://schemas.microsoft.com/office/excel/2006/main">
          <x14:cfRule type="expression" priority="9" id="{96AD0DB6-D8CD-454A-993C-3FC14C9A1C67}">
            <xm:f>GMO!$I$21=GMO!$D$60</xm:f>
            <x14:dxf>
              <font>
                <color theme="0"/>
              </font>
              <fill>
                <patternFill patternType="none">
                  <bgColor auto="1"/>
                </patternFill>
              </fill>
              <border>
                <left/>
                <right/>
                <top/>
                <bottom/>
                <vertical/>
                <horizontal/>
              </border>
            </x14:dxf>
          </x14:cfRule>
          <xm:sqref>G22:K29</xm:sqref>
        </x14:conditionalFormatting>
        <x14:conditionalFormatting xmlns:xm="http://schemas.microsoft.com/office/excel/2006/main">
          <x14:cfRule type="expression" priority="6" id="{C17E3F6C-6787-488F-A666-BCFF85F6E3DA}">
            <xm:f>GMO!$I$21=GMO!$D$60</xm:f>
            <x14:dxf>
              <font>
                <color theme="0"/>
              </font>
              <fill>
                <patternFill patternType="none">
                  <bgColor auto="1"/>
                </patternFill>
              </fill>
              <border>
                <left/>
                <right/>
                <top/>
                <bottom/>
                <vertical/>
                <horizontal/>
              </border>
            </x14:dxf>
          </x14:cfRule>
          <xm:sqref>G32:K35</xm:sqref>
        </x14:conditionalFormatting>
        <x14:conditionalFormatting xmlns:xm="http://schemas.microsoft.com/office/excel/2006/main">
          <x14:cfRule type="expression" priority="4" id="{8B5CEB36-72E7-4F9B-9C74-FAB19BB26D56}">
            <xm:f>GMO!$I$21=GMO!$D$60</xm:f>
            <x14:dxf>
              <font>
                <color theme="0"/>
              </font>
              <fill>
                <patternFill patternType="none">
                  <bgColor auto="1"/>
                </patternFill>
              </fill>
              <border>
                <left/>
                <right/>
                <top/>
                <bottom/>
                <vertical/>
                <horizontal/>
              </border>
            </x14:dxf>
          </x14:cfRule>
          <xm:sqref>G37:K38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3"/>
  <sheetViews>
    <sheetView workbookViewId="0">
      <pane ySplit="17" topLeftCell="A27" activePane="bottomLeft" state="frozen"/>
      <selection activeCell="H25" sqref="H25"/>
      <selection pane="bottomLeft" activeCell="D56" sqref="D56:F63"/>
    </sheetView>
  </sheetViews>
  <sheetFormatPr defaultRowHeight="12.75" x14ac:dyDescent="0.2"/>
  <cols>
    <col min="1" max="1" width="33.5703125" customWidth="1"/>
    <col min="2" max="6" width="9.140625" customWidth="1"/>
    <col min="7" max="7" width="9.7109375" customWidth="1"/>
    <col min="8" max="8" width="8.5703125" style="23" customWidth="1"/>
    <col min="9" max="11" width="7.85546875" customWidth="1"/>
    <col min="12" max="12" width="9" customWidth="1"/>
    <col min="13" max="13" width="7.5703125" customWidth="1"/>
    <col min="14" max="14" width="9.85546875" customWidth="1"/>
    <col min="15" max="16" width="7.140625" customWidth="1"/>
    <col min="17" max="17" width="9.140625" customWidth="1"/>
    <col min="18" max="18" width="8.42578125" customWidth="1"/>
    <col min="19" max="19" width="8.7109375" customWidth="1"/>
    <col min="20" max="20" width="4.7109375" customWidth="1"/>
    <col min="21" max="21" width="8.5703125" customWidth="1"/>
    <col min="22" max="22" width="8.140625" customWidth="1"/>
    <col min="23" max="23" width="8.7109375" customWidth="1"/>
    <col min="24" max="24" width="8.42578125" customWidth="1"/>
    <col min="25" max="25" width="8.5703125" customWidth="1"/>
    <col min="26" max="26" width="8.42578125" customWidth="1"/>
  </cols>
  <sheetData>
    <row r="1" spans="1:28" ht="18" x14ac:dyDescent="0.25">
      <c r="A1" s="662" t="s">
        <v>434</v>
      </c>
      <c r="B1" s="663"/>
      <c r="C1" s="663"/>
      <c r="D1" s="663"/>
      <c r="E1" s="663"/>
      <c r="F1" s="663"/>
      <c r="G1" s="663"/>
      <c r="H1" s="663"/>
      <c r="I1" s="663"/>
      <c r="J1" s="663"/>
      <c r="K1" s="663"/>
      <c r="L1" s="663"/>
      <c r="M1" s="663"/>
      <c r="N1" s="663"/>
      <c r="O1" s="663"/>
      <c r="P1" s="663"/>
      <c r="Q1" s="663"/>
      <c r="R1" s="663"/>
      <c r="S1" s="663"/>
      <c r="T1" s="663"/>
      <c r="U1" s="663"/>
      <c r="V1" s="663"/>
      <c r="W1" s="663"/>
      <c r="X1" s="663"/>
      <c r="Y1" s="663"/>
      <c r="Z1" s="664"/>
    </row>
    <row r="2" spans="1:28" x14ac:dyDescent="0.2">
      <c r="A2" s="65" t="s">
        <v>193</v>
      </c>
      <c r="B2" s="172">
        <v>2</v>
      </c>
      <c r="C2" s="65"/>
      <c r="D2" s="698" t="s">
        <v>110</v>
      </c>
      <c r="E2" s="698"/>
      <c r="F2" s="698"/>
      <c r="G2" s="698"/>
      <c r="H2" s="698"/>
      <c r="I2" s="698"/>
      <c r="J2" s="698"/>
      <c r="K2" s="698"/>
      <c r="L2" s="698"/>
      <c r="M2" s="698"/>
      <c r="N2" s="698"/>
      <c r="O2" s="698"/>
      <c r="P2" s="698"/>
      <c r="Q2" s="698"/>
      <c r="R2" s="698"/>
      <c r="S2" s="698"/>
      <c r="T2" s="698"/>
      <c r="U2" s="698"/>
      <c r="V2" s="698"/>
      <c r="W2" s="698"/>
      <c r="X2" s="698"/>
      <c r="Y2" s="698"/>
      <c r="Z2" s="698"/>
    </row>
    <row r="3" spans="1:28" x14ac:dyDescent="0.2">
      <c r="A3" s="65" t="s">
        <v>192</v>
      </c>
      <c r="B3" s="133">
        <f>'Machinery(Heirloom)'!C5</f>
        <v>1.75</v>
      </c>
      <c r="C3" s="65"/>
      <c r="D3" s="697" t="s">
        <v>98</v>
      </c>
      <c r="E3" s="697"/>
      <c r="F3" s="697"/>
      <c r="G3" s="697"/>
      <c r="H3" s="697"/>
      <c r="I3" s="697"/>
      <c r="J3" s="697"/>
      <c r="K3" s="697"/>
      <c r="L3" s="697"/>
      <c r="M3" s="697"/>
      <c r="N3" s="697"/>
      <c r="O3" s="697"/>
      <c r="P3" s="697"/>
      <c r="Q3" s="697"/>
      <c r="R3" s="697"/>
      <c r="S3" s="697"/>
      <c r="T3" s="697"/>
      <c r="U3" s="697"/>
      <c r="V3" s="697"/>
      <c r="W3" s="697"/>
      <c r="X3" s="697"/>
      <c r="Y3" s="697"/>
      <c r="Z3" s="697"/>
    </row>
    <row r="4" spans="1:28" x14ac:dyDescent="0.2">
      <c r="A4" s="9" t="s">
        <v>68</v>
      </c>
      <c r="B4" s="133">
        <f>'Machinery(Heirloom)'!C6</f>
        <v>15</v>
      </c>
      <c r="C4" s="9"/>
      <c r="D4" s="697" t="s">
        <v>100</v>
      </c>
      <c r="E4" s="697"/>
      <c r="F4" s="697"/>
      <c r="G4" s="697"/>
      <c r="H4" s="697"/>
      <c r="I4" s="697"/>
      <c r="J4" s="697"/>
      <c r="K4" s="697"/>
      <c r="L4" s="697"/>
      <c r="M4" s="697"/>
      <c r="N4" s="697"/>
      <c r="O4" s="697"/>
      <c r="P4" s="697"/>
      <c r="Q4" s="697"/>
      <c r="R4" s="697"/>
      <c r="S4" s="697"/>
      <c r="T4" s="697"/>
      <c r="U4" s="697"/>
      <c r="V4" s="697"/>
      <c r="W4" s="697"/>
      <c r="X4" s="697"/>
      <c r="Y4" s="697"/>
      <c r="Z4" s="697"/>
    </row>
    <row r="5" spans="1:28" x14ac:dyDescent="0.2">
      <c r="A5" s="9" t="s">
        <v>115</v>
      </c>
      <c r="B5" s="133" t="str">
        <f>'Machinery(Heirloom)'!C7</f>
        <v>Y</v>
      </c>
      <c r="C5" s="9"/>
      <c r="D5" s="697" t="s">
        <v>106</v>
      </c>
      <c r="E5" s="697"/>
      <c r="F5" s="697"/>
      <c r="G5" s="697"/>
      <c r="H5" s="697"/>
      <c r="I5" s="697"/>
      <c r="J5" s="697"/>
      <c r="K5" s="697"/>
      <c r="L5" s="697"/>
      <c r="M5" s="697"/>
      <c r="N5" s="697"/>
      <c r="O5" s="697"/>
      <c r="P5" s="697"/>
      <c r="Q5" s="697"/>
      <c r="R5" s="697"/>
      <c r="S5" s="697"/>
      <c r="T5" s="697"/>
      <c r="U5" s="697"/>
      <c r="V5" s="697"/>
      <c r="W5" s="697"/>
      <c r="X5" s="697"/>
      <c r="Y5" s="697"/>
      <c r="Z5" s="697"/>
    </row>
    <row r="6" spans="1:28" x14ac:dyDescent="0.2">
      <c r="A6" s="9" t="s">
        <v>69</v>
      </c>
      <c r="B6" s="133">
        <f>'Machinery(Heirloom)'!C8</f>
        <v>12.5</v>
      </c>
      <c r="C6" s="9"/>
      <c r="D6" s="697" t="s">
        <v>99</v>
      </c>
      <c r="E6" s="697"/>
      <c r="F6" s="697"/>
      <c r="G6" s="697"/>
      <c r="H6" s="697"/>
      <c r="I6" s="697"/>
      <c r="J6" s="697"/>
      <c r="K6" s="697"/>
      <c r="L6" s="697"/>
      <c r="M6" s="697"/>
      <c r="N6" s="697"/>
      <c r="O6" s="697"/>
      <c r="P6" s="697"/>
      <c r="Q6" s="697"/>
      <c r="R6" s="697"/>
      <c r="S6" s="697"/>
      <c r="T6" s="697"/>
      <c r="U6" s="697"/>
      <c r="V6" s="697"/>
      <c r="W6" s="697"/>
      <c r="X6" s="697"/>
      <c r="Y6" s="697"/>
      <c r="Z6" s="697"/>
    </row>
    <row r="7" spans="1:28" x14ac:dyDescent="0.2">
      <c r="A7" s="9" t="s">
        <v>70</v>
      </c>
      <c r="B7" s="118">
        <f>'Machinery(Heirloom)'!C9</f>
        <v>0</v>
      </c>
      <c r="C7" s="9"/>
      <c r="D7" s="697" t="s">
        <v>107</v>
      </c>
      <c r="E7" s="697"/>
      <c r="F7" s="697"/>
      <c r="G7" s="697"/>
      <c r="H7" s="697"/>
      <c r="I7" s="697"/>
      <c r="J7" s="697"/>
      <c r="K7" s="697"/>
      <c r="L7" s="697"/>
      <c r="M7" s="697"/>
      <c r="N7" s="697"/>
      <c r="O7" s="697"/>
      <c r="P7" s="697"/>
      <c r="Q7" s="697"/>
      <c r="R7" s="697"/>
      <c r="S7" s="697"/>
      <c r="T7" s="697"/>
      <c r="U7" s="697"/>
      <c r="V7" s="697"/>
      <c r="W7" s="697"/>
      <c r="X7" s="697"/>
      <c r="Y7" s="697"/>
      <c r="Z7" s="697"/>
    </row>
    <row r="8" spans="1:28" x14ac:dyDescent="0.2">
      <c r="A8" s="9" t="s">
        <v>103</v>
      </c>
      <c r="B8" s="36">
        <f>Heirloom!I26</f>
        <v>75</v>
      </c>
      <c r="C8" s="9"/>
      <c r="D8" s="697" t="s">
        <v>119</v>
      </c>
      <c r="E8" s="697"/>
      <c r="F8" s="697"/>
      <c r="G8" s="697"/>
      <c r="H8" s="697"/>
      <c r="I8" s="697"/>
      <c r="J8" s="697"/>
      <c r="K8" s="697"/>
      <c r="L8" s="697"/>
      <c r="M8" s="697"/>
      <c r="N8" s="697"/>
      <c r="O8" s="697"/>
      <c r="P8" s="697"/>
      <c r="Q8" s="697"/>
      <c r="R8" s="697"/>
      <c r="S8" s="697"/>
      <c r="T8" s="697"/>
      <c r="U8" s="697"/>
      <c r="V8" s="697"/>
      <c r="W8" s="697"/>
      <c r="X8" s="697"/>
      <c r="Y8" s="697"/>
      <c r="Z8" s="697"/>
    </row>
    <row r="9" spans="1:28" x14ac:dyDescent="0.2">
      <c r="A9" s="668" t="s">
        <v>104</v>
      </c>
      <c r="B9" s="668"/>
      <c r="C9" s="668"/>
      <c r="D9" s="668"/>
      <c r="E9" s="668"/>
      <c r="F9" s="668"/>
      <c r="G9" s="668"/>
      <c r="H9" s="690" t="s">
        <v>108</v>
      </c>
      <c r="I9" s="688"/>
      <c r="J9" s="688"/>
      <c r="K9" s="688"/>
      <c r="L9" s="688"/>
      <c r="M9" s="688"/>
      <c r="N9" s="688"/>
      <c r="O9" s="688"/>
      <c r="P9" s="688"/>
      <c r="Q9" s="688"/>
      <c r="R9" s="688"/>
      <c r="S9" s="688"/>
      <c r="T9" s="688"/>
      <c r="U9" s="688"/>
      <c r="V9" s="688"/>
      <c r="W9" s="688"/>
      <c r="X9" s="688"/>
      <c r="Y9" s="688"/>
      <c r="Z9" s="689"/>
    </row>
    <row r="10" spans="1:28" x14ac:dyDescent="0.2">
      <c r="A10" s="668" t="s">
        <v>105</v>
      </c>
      <c r="B10" s="668"/>
      <c r="C10" s="668"/>
      <c r="D10" s="668"/>
      <c r="E10" s="668"/>
      <c r="F10" s="668"/>
      <c r="G10" s="668"/>
      <c r="H10" s="690" t="s">
        <v>121</v>
      </c>
      <c r="I10" s="688"/>
      <c r="J10" s="688"/>
      <c r="K10" s="688"/>
      <c r="L10" s="688"/>
      <c r="M10" s="688"/>
      <c r="N10" s="688"/>
      <c r="O10" s="688"/>
      <c r="P10" s="688"/>
      <c r="Q10" s="688"/>
      <c r="R10" s="688"/>
      <c r="S10" s="688"/>
      <c r="T10" s="688"/>
      <c r="U10" s="688"/>
      <c r="V10" s="688"/>
      <c r="W10" s="688"/>
      <c r="X10" s="688"/>
      <c r="Y10" s="688"/>
      <c r="Z10" s="689"/>
    </row>
    <row r="11" spans="1:28" x14ac:dyDescent="0.2">
      <c r="A11" s="668" t="s">
        <v>118</v>
      </c>
      <c r="B11" s="668"/>
      <c r="C11" s="668"/>
      <c r="D11" s="668"/>
      <c r="E11" s="668"/>
      <c r="F11" s="668"/>
      <c r="G11" s="668"/>
      <c r="H11" s="690" t="s">
        <v>122</v>
      </c>
      <c r="I11" s="688"/>
      <c r="J11" s="688"/>
      <c r="K11" s="688"/>
      <c r="L11" s="688"/>
      <c r="M11" s="688"/>
      <c r="N11" s="688"/>
      <c r="O11" s="688"/>
      <c r="P11" s="688"/>
      <c r="Q11" s="688"/>
      <c r="R11" s="688"/>
      <c r="S11" s="688"/>
      <c r="T11" s="688"/>
      <c r="U11" s="688"/>
      <c r="V11" s="688"/>
      <c r="W11" s="688"/>
      <c r="X11" s="688"/>
      <c r="Y11" s="688"/>
      <c r="Z11" s="689"/>
    </row>
    <row r="12" spans="1:28" x14ac:dyDescent="0.2">
      <c r="A12" s="65" t="s">
        <v>82</v>
      </c>
      <c r="B12" s="119">
        <v>0.33</v>
      </c>
      <c r="C12" s="9"/>
      <c r="D12" s="9"/>
      <c r="E12" s="23"/>
      <c r="F12" s="119"/>
      <c r="G12" s="119"/>
      <c r="H12" s="687"/>
      <c r="I12" s="688"/>
      <c r="J12" s="688"/>
      <c r="K12" s="688"/>
      <c r="L12" s="688"/>
      <c r="M12" s="688"/>
      <c r="N12" s="688"/>
      <c r="O12" s="688"/>
      <c r="P12" s="688"/>
      <c r="Q12" s="688"/>
      <c r="R12" s="688"/>
      <c r="S12" s="688"/>
      <c r="T12" s="688"/>
      <c r="U12" s="688"/>
      <c r="V12" s="688"/>
      <c r="W12" s="688"/>
      <c r="X12" s="688"/>
      <c r="Y12" s="688"/>
      <c r="Z12" s="689"/>
    </row>
    <row r="13" spans="1:28" x14ac:dyDescent="0.2">
      <c r="A13" s="65" t="s">
        <v>397</v>
      </c>
      <c r="B13" s="119">
        <v>0.15</v>
      </c>
      <c r="C13" s="9"/>
      <c r="D13" s="9"/>
      <c r="E13" s="119"/>
      <c r="F13" s="119"/>
      <c r="G13" s="119"/>
      <c r="H13" s="321"/>
      <c r="I13" s="322"/>
      <c r="J13" s="322"/>
      <c r="K13" s="322"/>
      <c r="L13" s="322"/>
      <c r="M13" s="322"/>
      <c r="N13" s="322"/>
      <c r="O13" s="322"/>
      <c r="P13" s="322"/>
      <c r="Q13" s="322"/>
      <c r="R13" s="322"/>
      <c r="S13" s="322"/>
      <c r="T13" s="322"/>
      <c r="U13" s="323"/>
      <c r="V13" s="323"/>
      <c r="W13" s="323"/>
      <c r="X13" s="323"/>
      <c r="Y13" s="323"/>
      <c r="Z13" s="324"/>
    </row>
    <row r="14" spans="1:28" ht="13.15" customHeight="1" x14ac:dyDescent="0.2">
      <c r="A14" s="65" t="s">
        <v>398</v>
      </c>
      <c r="B14" s="325">
        <v>15</v>
      </c>
      <c r="C14" s="9"/>
      <c r="D14" s="9"/>
      <c r="E14" s="9"/>
      <c r="F14" s="120"/>
      <c r="G14" s="120"/>
      <c r="H14" s="671" t="s">
        <v>101</v>
      </c>
      <c r="I14" s="672"/>
      <c r="J14" s="672"/>
      <c r="K14" s="672"/>
      <c r="L14" s="672"/>
      <c r="M14" s="672"/>
      <c r="N14" s="672"/>
      <c r="O14" s="672"/>
      <c r="P14" s="672"/>
      <c r="Q14" s="672"/>
      <c r="R14" s="672"/>
      <c r="S14" s="672"/>
      <c r="T14" s="673"/>
      <c r="U14" s="691" t="s">
        <v>96</v>
      </c>
      <c r="V14" s="692"/>
      <c r="W14" s="692"/>
      <c r="X14" s="692"/>
      <c r="Y14" s="692"/>
      <c r="Z14" s="693"/>
    </row>
    <row r="15" spans="1:28" x14ac:dyDescent="0.2">
      <c r="A15" s="65" t="s">
        <v>143</v>
      </c>
      <c r="B15" s="319">
        <f>IF('Machinery(Heirloom)'!C10='Machinery(Heirloom)'!B73,'Machinery(Heirloom)'!C11,'Machinery(Heirloom)'!D11)</f>
        <v>0.75</v>
      </c>
      <c r="C15" s="65"/>
      <c r="D15" s="65"/>
      <c r="E15" s="9"/>
      <c r="F15" s="120"/>
      <c r="G15" s="120"/>
      <c r="H15" s="674"/>
      <c r="I15" s="675"/>
      <c r="J15" s="675"/>
      <c r="K15" s="675"/>
      <c r="L15" s="675"/>
      <c r="M15" s="675"/>
      <c r="N15" s="675"/>
      <c r="O15" s="675"/>
      <c r="P15" s="675"/>
      <c r="Q15" s="675"/>
      <c r="R15" s="675"/>
      <c r="S15" s="675"/>
      <c r="T15" s="676"/>
      <c r="U15" s="108" t="str">
        <f>'Machinery(Heirloom)'!G19</f>
        <v>Increase</v>
      </c>
      <c r="V15" s="108" t="str">
        <f>'Machinery(Heirloom)'!J19</f>
        <v>Increase</v>
      </c>
      <c r="W15" s="108" t="str">
        <f>'Machinery(Heirloom)'!J19</f>
        <v>Increase</v>
      </c>
      <c r="X15" s="108" t="str">
        <f>'Machinery(Heirloom)'!H19</f>
        <v>Increase</v>
      </c>
      <c r="Y15" s="108" t="str">
        <f>'Machinery(Heirloom)'!I19</f>
        <v>Increase</v>
      </c>
      <c r="Z15" s="108" t="str">
        <f>'Machinery(Heirloom)'!K19</f>
        <v>Increase</v>
      </c>
      <c r="AA15" s="16"/>
      <c r="AB15" s="16"/>
    </row>
    <row r="16" spans="1:28" x14ac:dyDescent="0.2">
      <c r="A16" s="65" t="s">
        <v>399</v>
      </c>
      <c r="B16" s="326">
        <v>0.15</v>
      </c>
      <c r="C16" s="9"/>
      <c r="D16" s="9"/>
      <c r="E16" s="9"/>
      <c r="F16" s="120"/>
      <c r="G16" s="120"/>
      <c r="H16" s="677"/>
      <c r="I16" s="678"/>
      <c r="J16" s="678"/>
      <c r="K16" s="678"/>
      <c r="L16" s="678"/>
      <c r="M16" s="678"/>
      <c r="N16" s="678"/>
      <c r="O16" s="678"/>
      <c r="P16" s="678"/>
      <c r="Q16" s="678"/>
      <c r="R16" s="678"/>
      <c r="S16" s="678"/>
      <c r="T16" s="679"/>
      <c r="U16" s="166">
        <f>IF('Machinery(Heirloom)'!G19='Machinery(Heirloom)'!B54,0,'Machinery(Heirloom)'!G20)</f>
        <v>0</v>
      </c>
      <c r="V16" s="166">
        <f>IF('Machinery(Heirloom)'!J19='Machinery(Heirloom)'!B54,0,'Machinery(Heirloom)'!J20)</f>
        <v>0</v>
      </c>
      <c r="W16" s="166">
        <f>IF('Machinery(Heirloom)'!J19='Machinery(Heirloom)'!B54,0,'Machinery(Heirloom)'!J20)</f>
        <v>0</v>
      </c>
      <c r="X16" s="166">
        <f>IF('Machinery(Heirloom)'!H19='Machinery(Heirloom)'!B54,0,'Machinery(Heirloom)'!H20)</f>
        <v>0</v>
      </c>
      <c r="Y16" s="166">
        <f>IF('Machinery(Heirloom)'!I19='Machinery(Heirloom)'!B54,0,'Machinery(Heirloom)'!I20)</f>
        <v>0</v>
      </c>
      <c r="Z16" s="166">
        <f>IF('Machinery(Heirloom)'!K19='Machinery(Heirloom)'!B54,0,'Machinery(Heirloom)'!K20)</f>
        <v>0</v>
      </c>
    </row>
    <row r="17" spans="1:28" s="1" customFormat="1" ht="43.15" customHeight="1" x14ac:dyDescent="0.2">
      <c r="A17" s="160" t="s">
        <v>0</v>
      </c>
      <c r="B17" s="160" t="s">
        <v>295</v>
      </c>
      <c r="C17" s="160" t="s">
        <v>296</v>
      </c>
      <c r="D17" s="160" t="s">
        <v>294</v>
      </c>
      <c r="E17" s="25" t="s">
        <v>250</v>
      </c>
      <c r="F17" s="25" t="s">
        <v>109</v>
      </c>
      <c r="G17" s="25" t="s">
        <v>117</v>
      </c>
      <c r="H17" s="155" t="s">
        <v>394</v>
      </c>
      <c r="I17" s="155" t="s">
        <v>10</v>
      </c>
      <c r="J17" s="155" t="s">
        <v>401</v>
      </c>
      <c r="K17" s="155" t="s">
        <v>402</v>
      </c>
      <c r="L17" s="155" t="s">
        <v>2</v>
      </c>
      <c r="M17" s="155" t="s">
        <v>6</v>
      </c>
      <c r="N17" s="155" t="s">
        <v>3</v>
      </c>
      <c r="O17" s="155" t="s">
        <v>400</v>
      </c>
      <c r="P17" s="155" t="s">
        <v>4</v>
      </c>
      <c r="Q17" s="155" t="s">
        <v>7</v>
      </c>
      <c r="R17" s="155" t="s">
        <v>8</v>
      </c>
      <c r="S17" s="155" t="s">
        <v>9</v>
      </c>
      <c r="T17" s="155"/>
      <c r="U17" s="155" t="s">
        <v>86</v>
      </c>
      <c r="V17" s="155" t="s">
        <v>88</v>
      </c>
      <c r="W17" s="155" t="s">
        <v>71</v>
      </c>
      <c r="X17" s="155" t="s">
        <v>8</v>
      </c>
      <c r="Y17" s="155" t="s">
        <v>89</v>
      </c>
      <c r="Z17" s="155" t="s">
        <v>50</v>
      </c>
      <c r="AA17" s="338"/>
      <c r="AB17" s="338"/>
    </row>
    <row r="18" spans="1:28" x14ac:dyDescent="0.2">
      <c r="A18" s="4"/>
      <c r="B18" s="4"/>
      <c r="C18" s="4"/>
      <c r="D18" s="4"/>
      <c r="E18" s="26"/>
      <c r="F18" s="24"/>
      <c r="G18" s="31"/>
      <c r="H18" s="9"/>
      <c r="I18" s="9"/>
      <c r="J18" s="9"/>
      <c r="K18" s="9"/>
      <c r="L18" s="9"/>
      <c r="M18" s="9"/>
      <c r="N18" s="9"/>
      <c r="O18" s="9"/>
      <c r="P18" s="9"/>
      <c r="Q18" s="9"/>
      <c r="R18" s="9"/>
      <c r="S18" s="9"/>
      <c r="T18" s="9"/>
      <c r="U18" s="9"/>
      <c r="V18" s="9"/>
      <c r="W18" s="9"/>
      <c r="X18" s="9"/>
      <c r="Y18" s="9"/>
      <c r="Z18" s="9"/>
      <c r="AA18" s="23"/>
      <c r="AB18" s="23"/>
    </row>
    <row r="19" spans="1:28" x14ac:dyDescent="0.2">
      <c r="A19" s="10" t="s">
        <v>11</v>
      </c>
      <c r="B19" s="10"/>
      <c r="C19" s="10"/>
      <c r="D19" s="10"/>
      <c r="E19" s="27"/>
      <c r="F19" s="28"/>
      <c r="G19" s="32"/>
      <c r="H19" s="6"/>
      <c r="I19" s="6"/>
      <c r="J19" s="6"/>
      <c r="K19" s="6"/>
      <c r="L19" s="9"/>
      <c r="M19" s="9"/>
      <c r="N19" s="9"/>
      <c r="O19" s="9"/>
      <c r="P19" s="9"/>
      <c r="Q19" s="9"/>
      <c r="R19" s="9"/>
      <c r="S19" s="9"/>
      <c r="T19" s="9"/>
      <c r="U19" s="9"/>
      <c r="V19" s="9"/>
      <c r="W19" s="9"/>
      <c r="X19" s="9"/>
      <c r="Y19" s="9"/>
      <c r="Z19" s="9"/>
      <c r="AA19" s="23"/>
      <c r="AB19" s="23"/>
    </row>
    <row r="20" spans="1:28" x14ac:dyDescent="0.2">
      <c r="A20" s="9" t="s">
        <v>12</v>
      </c>
      <c r="B20" s="115"/>
      <c r="C20" s="115"/>
      <c r="D20" s="132"/>
      <c r="E20" s="174"/>
      <c r="F20" s="175"/>
      <c r="G20" s="33"/>
      <c r="H20" s="6"/>
      <c r="I20" s="6">
        <f>IF(G20&gt;0,G20,H20-(L20*B$2*1.05)+M20-O20*12.5+P20)</f>
        <v>0.54042810395622842</v>
      </c>
      <c r="J20" s="6"/>
      <c r="K20" s="6"/>
      <c r="L20" s="11">
        <v>2.06175</v>
      </c>
      <c r="M20" s="21">
        <f t="shared" ref="M20:M23" si="0">L20*B$3*(1+B$13)</f>
        <v>4.1492718749999993</v>
      </c>
      <c r="N20" s="12">
        <v>0.25072390572390574</v>
      </c>
      <c r="O20" s="12">
        <f t="shared" ref="O20:O23" si="1">N20*(1+B$16)</f>
        <v>0.28833249158249158</v>
      </c>
      <c r="P20" s="21">
        <f>O20*B$4*(1-B$7)+O20*B$6*(B$7)</f>
        <v>4.3249873737373736</v>
      </c>
      <c r="Q20" s="21">
        <f>I20-M20-P20</f>
        <v>-7.9338311447811449</v>
      </c>
      <c r="R20" s="21">
        <f>Q20*B$12</f>
        <v>-2.6181642777777778</v>
      </c>
      <c r="S20" s="21">
        <f>Q20-R20</f>
        <v>-5.3156668670033671</v>
      </c>
      <c r="T20" s="9"/>
      <c r="U20" s="21">
        <f t="shared" ref="U20:U29" si="2">IF(U$15="Increase",IF(F20="y",0,IF($E20&gt;0,M20*$E20*(1+U$16),0)),IF(F20="y",0,IF($E20&gt;0,M20*$E20*(1-U$16),0)))</f>
        <v>0</v>
      </c>
      <c r="V20" s="21">
        <f>IF(V$15="Increase",IF(F20="y",0,IF($E20&gt;0,(O20*B$4*(1-B$7))*$E20*(1+V$16),0)),IF(F20="y",0,IF($E20&gt;0,(O20*B$4*(1-B$7))*$E20*(1-V$16),0)))</f>
        <v>0</v>
      </c>
      <c r="W20" s="21">
        <f>IF(W$15="Increase",IF(F20="y",0,IF($E20&gt;0,(O20*B$6*(B$7))*$E20*(1+W$16),0)),IF(F20="y",0,IF($E20&gt;0,(O20*B$6*(B$7))*$E20*(1-W$16),0)))</f>
        <v>0</v>
      </c>
      <c r="X20" s="21">
        <f t="shared" ref="X20:X29" si="3">IF(X$15="Increase",IF(F20="y",0,IF($E20&gt;0,R20*$E20*(1+X$16),0)),IF(F20="y",0,IF($E20&gt;0,R20*$E20*(1-X$16),0)))</f>
        <v>0</v>
      </c>
      <c r="Y20" s="21">
        <f t="shared" ref="Y20:Y28" si="4">IF(Y$15="Increase",IF(F20="y",0,IF($E20&gt;0,S20*$E20*(1+Y$16),0)),IF(F20="y",0,IF($E20&gt;0,S20*$E20*(1-Y$16),0)))</f>
        <v>0</v>
      </c>
      <c r="Z20" s="21">
        <f t="shared" ref="Z20:Z29" si="5">IF(Z$15="Increase",IF(F20="y",I20*E20*(1+Z$16),0),IF(F20="y",I20*E20*(1-Z$16),0))</f>
        <v>0</v>
      </c>
      <c r="AA20" s="23"/>
      <c r="AB20" s="23"/>
    </row>
    <row r="21" spans="1:28" x14ac:dyDescent="0.2">
      <c r="A21" s="9" t="s">
        <v>13</v>
      </c>
      <c r="B21" s="115">
        <v>0.5</v>
      </c>
      <c r="C21" s="115">
        <v>0</v>
      </c>
      <c r="D21" s="132">
        <f>IF('Machinery(Heirloom)'!B34='Machinery(Heirloom)'!G56,'Machinery(Heirloom)'!D34,IF('Machinery(Heirloom)'!B35='Machinery(Heirloom)'!G60,'Machinery(Heirloom)'!D35,0))</f>
        <v>0</v>
      </c>
      <c r="E21" s="174">
        <f>IF('Machinery(Heirloom)'!$C$16='Machinery(Heirloom)'!$B$68,0,IF('Machinery(Heirloom)'!C17='Machinery(Heirloom)'!B72,D21,IF(OR('Machinery(Heirloom)'!B34='Machinery(Heirloom)'!G56,'Machinery(Heirloom)'!B35='Machinery(Heirloom)'!G60),B21)))</f>
        <v>0</v>
      </c>
      <c r="F21" s="175" t="str">
        <f>IF('Machinery(Heirloom)'!C17='Machinery(Heirloom)'!B73,'Machinery(Heirloom)'!B50,IF('Machinery(Heirloom)'!B34='Machinery(Heirloom)'!G56,'Machinery(Heirloom)'!E34,IF('Machinery(Heirloom)'!B35='Machinery(Heirloom)'!G60,'Machinery(Heirloom)'!E35,'Machinery(Heirloom)'!B50)))</f>
        <v>N</v>
      </c>
      <c r="G21" s="33"/>
      <c r="H21" s="6">
        <v>18</v>
      </c>
      <c r="I21" s="6">
        <f>H21+J21+K21</f>
        <v>17.734999999999999</v>
      </c>
      <c r="J21" s="6">
        <f>L21*(B$3-B$2)</f>
        <v>-0.26500000000000001</v>
      </c>
      <c r="K21" s="6">
        <f>(B$4*(1-B$7)+B$6*(B$7) - B$14)*O21</f>
        <v>0</v>
      </c>
      <c r="L21" s="11">
        <v>1.06</v>
      </c>
      <c r="M21" s="21">
        <f>L21*B$3*(1+B$13)</f>
        <v>2.1332499999999999</v>
      </c>
      <c r="N21" s="12">
        <v>6.6969696969696971E-2</v>
      </c>
      <c r="O21" s="12">
        <f>N21*(1+B$16)</f>
        <v>7.7015151515151509E-2</v>
      </c>
      <c r="P21" s="21">
        <f>O21*B$4*(1-B$7)+O21*B$6*(B$7)</f>
        <v>1.1552272727272725</v>
      </c>
      <c r="Q21" s="21">
        <f t="shared" ref="Q21:Q29" si="6">I21-M21-P21</f>
        <v>14.446522727272727</v>
      </c>
      <c r="R21" s="21">
        <f>Q21*B$12</f>
        <v>4.7673525000000003</v>
      </c>
      <c r="S21" s="21">
        <f t="shared" ref="S21:S29" si="7">Q21-R21</f>
        <v>9.6791702272727278</v>
      </c>
      <c r="T21" s="9"/>
      <c r="U21" s="21">
        <f t="shared" si="2"/>
        <v>0</v>
      </c>
      <c r="V21" s="21">
        <f>IF(V$15="Increase",IF(F21="y",0,IF($E21&gt;0,(O21*B$4*(1-B$7))*$E21*(1+V$16),0)),IF(F21="y",0,IF($E21&gt;0,(O21*B$4*(1-B$7))*$E21*(1-V$16),0)))</f>
        <v>0</v>
      </c>
      <c r="W21" s="21">
        <f>IF(W$15="Increase",IF(F21="y",0,IF($E21&gt;0,(O21*B$6*(B$7))*$E21*(1+W$16),0)),IF(F21="y",0,IF($E21&gt;0,(O21*B$6*(B$7))*$E21*(1-W$16),0)))</f>
        <v>0</v>
      </c>
      <c r="X21" s="21">
        <f t="shared" si="3"/>
        <v>0</v>
      </c>
      <c r="Y21" s="21">
        <f t="shared" si="4"/>
        <v>0</v>
      </c>
      <c r="Z21" s="21">
        <f t="shared" si="5"/>
        <v>0</v>
      </c>
      <c r="AA21" s="23"/>
      <c r="AB21" s="23"/>
    </row>
    <row r="22" spans="1:28" x14ac:dyDescent="0.2">
      <c r="A22" s="9" t="s">
        <v>14</v>
      </c>
      <c r="B22" s="115">
        <v>0.5</v>
      </c>
      <c r="C22" s="115">
        <v>0</v>
      </c>
      <c r="D22" s="132">
        <f>IF('Machinery(Heirloom)'!B34='Machinery(Heirloom)'!G57,'Machinery(Heirloom)'!D34,IF('Machinery(Heirloom)'!B35='Machinery(Heirloom)'!G61,'Machinery(Heirloom)'!D35,0))</f>
        <v>0</v>
      </c>
      <c r="E22" s="174">
        <f>IF('Machinery(Heirloom)'!$C$16='Machinery(Heirloom)'!$B$68,0,IF('Machinery(Heirloom)'!C17='Machinery(Heirloom)'!B72,D22,IF(OR('Machinery(Heirloom)'!B34='Machinery(Heirloom)'!G57,'Machinery(Heirloom)'!B35='Machinery(Heirloom)'!G61),B22)))</f>
        <v>0</v>
      </c>
      <c r="F22" s="175" t="str">
        <f>IF('Machinery(Heirloom)'!C17='Machinery(Heirloom)'!B73,'Machinery(Heirloom)'!B50,IF('Machinery(Heirloom)'!B34='Machinery(Heirloom)'!G57,'Machinery(Heirloom)'!E34,IF('Machinery(Heirloom)'!B35='Machinery(Heirloom)'!G61,'Machinery(Heirloom)'!E35,'Machinery(Heirloom)'!B50)))</f>
        <v>N</v>
      </c>
      <c r="G22" s="33"/>
      <c r="H22" s="6">
        <v>15.5</v>
      </c>
      <c r="I22" s="327">
        <f>H22+J22+K22</f>
        <v>15.2745</v>
      </c>
      <c r="J22" s="6">
        <f>L22*(B$3-B$2)</f>
        <v>-0.22550000000000001</v>
      </c>
      <c r="K22" s="6">
        <f>(B$4*(1-B$7)+B$6*(B$7) - B$14)*O22</f>
        <v>0</v>
      </c>
      <c r="L22" s="11">
        <v>0.90200000000000002</v>
      </c>
      <c r="M22" s="21">
        <f>L22*B$3*(1+B$13)</f>
        <v>1.815275</v>
      </c>
      <c r="N22" s="12">
        <v>0.13191919191919191</v>
      </c>
      <c r="O22" s="12">
        <f t="shared" si="1"/>
        <v>0.15170707070707068</v>
      </c>
      <c r="P22" s="21">
        <f>O22*B$4*(1-B$7)+O22*B$6*(B$7)</f>
        <v>2.2756060606060604</v>
      </c>
      <c r="Q22" s="21">
        <f t="shared" si="6"/>
        <v>11.18361893939394</v>
      </c>
      <c r="R22" s="21">
        <f>Q22*B$12</f>
        <v>3.6905942500000002</v>
      </c>
      <c r="S22" s="21">
        <f t="shared" si="7"/>
        <v>7.4930246893939394</v>
      </c>
      <c r="T22" s="9"/>
      <c r="U22" s="21">
        <f t="shared" si="2"/>
        <v>0</v>
      </c>
      <c r="V22" s="21">
        <f>IF(V$15="Increase",IF(F22="y",0,IF($E22&gt;0,(O22*B$4*(1-B$7))*$E22*(1+V$16),0)),IF(F22="y",0,IF($E22&gt;0,(O22*B$4*(1-B$7))*$E22*(1-V$16),0)))</f>
        <v>0</v>
      </c>
      <c r="W22" s="21">
        <f>IF(W$15="Increase",IF(F22="y",0,IF($E22&gt;0,(O22*B$6*(B$7))*$E22*(1+W$16),0)),IF(F22="y",0,IF($E22&gt;0,(O22*B$6*(B$7))*$E22*(1-W$16),0)))</f>
        <v>0</v>
      </c>
      <c r="X22" s="21">
        <f t="shared" si="3"/>
        <v>0</v>
      </c>
      <c r="Y22" s="21">
        <f t="shared" si="4"/>
        <v>0</v>
      </c>
      <c r="Z22" s="21">
        <f t="shared" si="5"/>
        <v>0</v>
      </c>
      <c r="AA22" s="23"/>
      <c r="AB22" s="23"/>
    </row>
    <row r="23" spans="1:28" x14ac:dyDescent="0.2">
      <c r="A23" s="9" t="s">
        <v>15</v>
      </c>
      <c r="B23" s="9"/>
      <c r="C23" s="9"/>
      <c r="D23" s="132"/>
      <c r="E23" s="176"/>
      <c r="F23" s="175"/>
      <c r="G23" s="33"/>
      <c r="H23" s="6"/>
      <c r="I23" s="6">
        <f>IF(G23&gt;0,G23,H23-(L23*B$2*1.05)+M23-O23*12.5+P23)</f>
        <v>0.24100462962962865</v>
      </c>
      <c r="J23" s="6"/>
      <c r="K23" s="6"/>
      <c r="L23" s="11">
        <v>1.87</v>
      </c>
      <c r="M23" s="21">
        <f t="shared" si="0"/>
        <v>3.7633749999999995</v>
      </c>
      <c r="N23" s="12">
        <v>0.14074074074074072</v>
      </c>
      <c r="O23" s="12">
        <f t="shared" si="1"/>
        <v>0.16185185185185183</v>
      </c>
      <c r="P23" s="21">
        <f>O23*B$4*(1-B$7)+O23*B$6*(B$7)</f>
        <v>2.4277777777777776</v>
      </c>
      <c r="Q23" s="21">
        <f t="shared" si="6"/>
        <v>-5.9501481481481484</v>
      </c>
      <c r="R23" s="21">
        <f>Q23*B$12</f>
        <v>-1.963548888888889</v>
      </c>
      <c r="S23" s="21">
        <f t="shared" si="7"/>
        <v>-3.9865992592592594</v>
      </c>
      <c r="T23" s="9"/>
      <c r="U23" s="21">
        <f t="shared" si="2"/>
        <v>0</v>
      </c>
      <c r="V23" s="21">
        <f>IF(V$15="Increase",IF(F23="y",0,IF($E23&gt;0,(O23*B$4*(1-B$7))*$E23*(1+V$16),0)),IF(F23="y",0,IF($E23&gt;0,(O23*B$4*(1-B$7))*$E23*(1-V$16),0)))</f>
        <v>0</v>
      </c>
      <c r="W23" s="21">
        <f>IF(W$15="Increase",IF(F23="y",0,IF($E23&gt;0,(O23*B$6*(B$7))*$E23*(1+W$16),0)),IF(F23="y",0,IF($E23&gt;0,(O23*B$6*(B$7))*$E23*(1-W$16),0)))</f>
        <v>0</v>
      </c>
      <c r="X23" s="21">
        <f t="shared" si="3"/>
        <v>0</v>
      </c>
      <c r="Y23" s="21">
        <f t="shared" si="4"/>
        <v>0</v>
      </c>
      <c r="Z23" s="21">
        <f t="shared" si="5"/>
        <v>0</v>
      </c>
      <c r="AA23" s="23"/>
      <c r="AB23" s="23"/>
    </row>
    <row r="24" spans="1:28" x14ac:dyDescent="0.2">
      <c r="A24" s="9"/>
      <c r="B24" s="9"/>
      <c r="C24" s="9"/>
      <c r="D24" s="132"/>
      <c r="E24" s="176"/>
      <c r="F24" s="175"/>
      <c r="G24" s="33"/>
      <c r="H24" s="6"/>
      <c r="I24" s="6"/>
      <c r="J24" s="6"/>
      <c r="K24" s="6"/>
      <c r="L24" s="11"/>
      <c r="M24" s="21"/>
      <c r="N24" s="12"/>
      <c r="O24" s="12"/>
      <c r="P24" s="21"/>
      <c r="Q24" s="21"/>
      <c r="R24" s="21"/>
      <c r="S24" s="21"/>
      <c r="T24" s="9"/>
      <c r="U24" s="21"/>
      <c r="V24" s="21"/>
      <c r="W24" s="21"/>
      <c r="X24" s="21"/>
      <c r="Y24" s="21"/>
      <c r="Z24" s="21"/>
      <c r="AA24" s="23"/>
      <c r="AB24" s="23"/>
    </row>
    <row r="25" spans="1:28" x14ac:dyDescent="0.2">
      <c r="A25" s="9" t="s">
        <v>16</v>
      </c>
      <c r="B25" s="115">
        <v>2</v>
      </c>
      <c r="C25" s="115">
        <v>0</v>
      </c>
      <c r="D25" s="132">
        <f>IF('Machinery(Heirloom)'!C16='Machinery(Heirloom)'!B68,0,'Machinery(Heirloom)'!D28)</f>
        <v>0</v>
      </c>
      <c r="E25" s="174">
        <f>IF('Machinery(Heirloom)'!$C$17='Machinery(Heirloom)'!$B$72,D25,IF('Machinery(Heirloom)'!$C$16='Machinery(Heirloom)'!$B$69,B25,C25))</f>
        <v>0</v>
      </c>
      <c r="F25" s="175" t="str">
        <f>IF('Machinery(Heirloom)'!C17='Machinery(Heirloom)'!B73,'Machinery(Heirloom)'!B50,'Machinery(Heirloom)'!E28)</f>
        <v>N</v>
      </c>
      <c r="G25" s="33"/>
      <c r="H25" s="6">
        <v>14.5</v>
      </c>
      <c r="I25" s="327">
        <f>H25+J25+K25</f>
        <v>14.343999999999999</v>
      </c>
      <c r="J25" s="6">
        <f>L25*(B$3-B$2)</f>
        <v>-0.15600000000000003</v>
      </c>
      <c r="K25" s="6">
        <f>(B$4*(1-B$7)+B$6*(B$7) - B$14)*O25</f>
        <v>0</v>
      </c>
      <c r="L25" s="11">
        <v>0.62400000000000011</v>
      </c>
      <c r="M25" s="21">
        <f t="shared" ref="M25:M29" si="8">L25*B$3*(1+B$13)</f>
        <v>1.2558</v>
      </c>
      <c r="N25" s="12">
        <v>4.631313131313132E-2</v>
      </c>
      <c r="O25" s="12">
        <f t="shared" ref="O25:O29" si="9">N25*(1+B$16)</f>
        <v>5.3260101010101014E-2</v>
      </c>
      <c r="P25" s="21">
        <f>O25*B$4*(1-B$7)+O25*B$6*(B$7)</f>
        <v>0.7989015151515152</v>
      </c>
      <c r="Q25" s="21">
        <f t="shared" si="6"/>
        <v>12.289298484848484</v>
      </c>
      <c r="R25" s="21">
        <f>Q25*B$12</f>
        <v>4.0554684999999999</v>
      </c>
      <c r="S25" s="21">
        <f t="shared" si="7"/>
        <v>8.2338299848484837</v>
      </c>
      <c r="T25" s="9"/>
      <c r="U25" s="21">
        <f t="shared" si="2"/>
        <v>0</v>
      </c>
      <c r="V25" s="21">
        <f>IF(V$15="Increase",IF(F25="y",0,IF($E25&gt;0,(O25*B$4*(1-B$7))*$E25*(1+V$16),0)),IF(F25="y",0,IF($E25&gt;0,(O25*B$4*(1-B$7))*$E25*(1-V$16),0)))</f>
        <v>0</v>
      </c>
      <c r="W25" s="21">
        <f>IF(W$15="Increase",IF(F25="y",0,IF($E25&gt;0,(O25*B$6*(B$7))*$E25*(1+W$16),0)),IF(F25="y",0,IF($E25&gt;0,(O25*B$6*(B$7))*$E25*(1-W$16),0)))</f>
        <v>0</v>
      </c>
      <c r="X25" s="21">
        <f t="shared" si="3"/>
        <v>0</v>
      </c>
      <c r="Y25" s="21">
        <f t="shared" si="4"/>
        <v>0</v>
      </c>
      <c r="Z25" s="21">
        <f t="shared" si="5"/>
        <v>0</v>
      </c>
      <c r="AA25" s="23"/>
      <c r="AB25" s="23"/>
    </row>
    <row r="26" spans="1:28" x14ac:dyDescent="0.2">
      <c r="A26" s="9" t="s">
        <v>17</v>
      </c>
      <c r="B26" s="9"/>
      <c r="C26" s="9"/>
      <c r="D26" s="108"/>
      <c r="E26" s="176"/>
      <c r="F26" s="175"/>
      <c r="G26" s="33"/>
      <c r="H26" s="6"/>
      <c r="I26" s="6">
        <f>IF(G26&gt;0,G26,H26-(L26*B$2*1.05)+M26-O26*12.5+P26)</f>
        <v>0.250072727272727</v>
      </c>
      <c r="J26" s="6"/>
      <c r="K26" s="6"/>
      <c r="L26" s="11">
        <v>0.36799999999999999</v>
      </c>
      <c r="M26" s="21">
        <f t="shared" si="8"/>
        <v>0.74059999999999993</v>
      </c>
      <c r="N26" s="12">
        <v>9.818181818181819E-2</v>
      </c>
      <c r="O26" s="12">
        <f t="shared" si="9"/>
        <v>0.1129090909090909</v>
      </c>
      <c r="P26" s="21">
        <f>O26*B$4*(1-B$7)+O26*B$6*(B$7)</f>
        <v>1.6936363636363636</v>
      </c>
      <c r="Q26" s="21">
        <f t="shared" si="6"/>
        <v>-2.1841636363636363</v>
      </c>
      <c r="R26" s="21">
        <f>Q26*B$12</f>
        <v>-0.72077400000000003</v>
      </c>
      <c r="S26" s="21">
        <f t="shared" si="7"/>
        <v>-1.4633896363636363</v>
      </c>
      <c r="T26" s="9"/>
      <c r="U26" s="21">
        <f t="shared" si="2"/>
        <v>0</v>
      </c>
      <c r="V26" s="21">
        <f>IF(V$15="Increase",IF(F26="y",0,IF($E26&gt;0,(O26*B$4*(1-B$7))*$E26*(1+V$16),0)),IF(F26="y",0,IF($E26&gt;0,(O26*B$4*(1-B$7))*$E26*(1-V$16),0)))</f>
        <v>0</v>
      </c>
      <c r="W26" s="21">
        <f>IF(W$15="Increase",IF(F26="y",0,IF($E26&gt;0,(O26*B$6*(B$7))*$E26*(1+W$16),0)),IF(F26="y",0,IF($E26&gt;0,(O26*B$6*(B$7))*$E26*(1-W$16),0)))</f>
        <v>0</v>
      </c>
      <c r="X26" s="21">
        <f t="shared" si="3"/>
        <v>0</v>
      </c>
      <c r="Y26" s="21">
        <f t="shared" si="4"/>
        <v>0</v>
      </c>
      <c r="Z26" s="21">
        <f t="shared" si="5"/>
        <v>0</v>
      </c>
      <c r="AA26" s="23"/>
      <c r="AB26" s="23"/>
    </row>
    <row r="27" spans="1:28" x14ac:dyDescent="0.2">
      <c r="A27" s="9" t="s">
        <v>18</v>
      </c>
      <c r="B27" s="115">
        <v>0.5</v>
      </c>
      <c r="C27" s="115">
        <v>0</v>
      </c>
      <c r="D27" s="132">
        <f>IF('Machinery(Heirloom)'!B34='Machinery(Heirloom)'!G58,'Machinery(Heirloom)'!D34,IF('Machinery(Heirloom)'!B35='Machinery(Heirloom)'!G62,'Machinery(Heirloom)'!D35,0))</f>
        <v>0</v>
      </c>
      <c r="E27" s="174">
        <f>IF('Machinery(Heirloom)'!$C$16='Machinery(Heirloom)'!$B$68,0,IF('Machinery(Heirloom)'!C17='Machinery(Heirloom)'!B72,D27,IF(OR('Machinery(Heirloom)'!B34='Machinery(Heirloom)'!G58,'Machinery(Heirloom)'!B35='Machinery(Heirloom)'!G62),B27)))</f>
        <v>0</v>
      </c>
      <c r="F27" s="175" t="str">
        <f>IF('Machinery(Heirloom)'!C17='Machinery(Heirloom)'!B73,'Machinery(Heirloom)'!B50,IF('Machinery(Heirloom)'!B34='Machinery(Heirloom)'!G58,'Machinery(Heirloom)'!E34,IF('Machinery(Heirloom)'!B35='Machinery(Heirloom)'!G62,'Machinery(Heirloom)'!E35,'Machinery(Heirloom)'!B50)))</f>
        <v>N</v>
      </c>
      <c r="G27" s="33"/>
      <c r="H27" s="6">
        <v>19.5</v>
      </c>
      <c r="I27" s="327">
        <f>H27+J27+K27</f>
        <v>18.916374999999999</v>
      </c>
      <c r="J27" s="6">
        <f>L27*(B$3-B$2)</f>
        <v>-0.58362499999999995</v>
      </c>
      <c r="K27" s="6">
        <f>(B$4*(1-B$7)+B$6*(B$7) - B$14)*O27</f>
        <v>0</v>
      </c>
      <c r="L27" s="11">
        <v>2.3344999999999998</v>
      </c>
      <c r="M27" s="21">
        <f t="shared" si="8"/>
        <v>4.6981812499999993</v>
      </c>
      <c r="N27" s="12">
        <v>0.20636363636363636</v>
      </c>
      <c r="O27" s="12">
        <f t="shared" si="9"/>
        <v>0.23731818181818179</v>
      </c>
      <c r="P27" s="21">
        <f>O27*B$4*(1-B$7)+O27*B$6*(B$7)</f>
        <v>3.5597727272727266</v>
      </c>
      <c r="Q27" s="21">
        <f t="shared" si="6"/>
        <v>10.658421022727273</v>
      </c>
      <c r="R27" s="21">
        <f>Q27*B$12</f>
        <v>3.5172789375000004</v>
      </c>
      <c r="S27" s="21">
        <f t="shared" si="7"/>
        <v>7.1411420852272727</v>
      </c>
      <c r="T27" s="9"/>
      <c r="U27" s="21">
        <f t="shared" si="2"/>
        <v>0</v>
      </c>
      <c r="V27" s="21">
        <f>IF(V$15="Increase",IF(F27="y",0,IF($E27&gt;0,(O27*B$4*(1-B$7))*$E27*(1+V$16),0)),IF(F27="y",0,IF($E27&gt;0,(O27*B$4*(1-B$7))*$E27*(1-V$16),0)))</f>
        <v>0</v>
      </c>
      <c r="W27" s="21">
        <f>IF(W$15="Increase",IF(F27="y",0,IF($E27&gt;0,(O27*B$6*(B$7))*$E27*(1+W$16),0)),IF(F27="y",0,IF($E27&gt;0,(O27*B$6*(B$7))*$E27*(1-W$16),0)))</f>
        <v>0</v>
      </c>
      <c r="X27" s="21">
        <f t="shared" si="3"/>
        <v>0</v>
      </c>
      <c r="Y27" s="21">
        <f t="shared" si="4"/>
        <v>0</v>
      </c>
      <c r="Z27" s="21">
        <f t="shared" si="5"/>
        <v>0</v>
      </c>
      <c r="AA27" s="23"/>
      <c r="AB27" s="23"/>
    </row>
    <row r="28" spans="1:28" x14ac:dyDescent="0.2">
      <c r="A28" s="9" t="s">
        <v>19</v>
      </c>
      <c r="B28" s="9"/>
      <c r="C28" s="9"/>
      <c r="D28" s="108"/>
      <c r="E28" s="176"/>
      <c r="F28" s="175"/>
      <c r="G28" s="33"/>
      <c r="H28" s="6"/>
      <c r="I28" s="6">
        <f>IF(G28&gt;0,G28,H28-(L28*B$2*1.05)+M28-O28*12.5+P28)</f>
        <v>0.2076937815656561</v>
      </c>
      <c r="J28" s="6"/>
      <c r="K28" s="6"/>
      <c r="L28" s="11">
        <v>1.9442499999999998</v>
      </c>
      <c r="M28" s="21">
        <f t="shared" si="8"/>
        <v>3.912803124999999</v>
      </c>
      <c r="N28" s="12">
        <v>0.13141414141414143</v>
      </c>
      <c r="O28" s="12">
        <f t="shared" si="9"/>
        <v>0.15112626262626264</v>
      </c>
      <c r="P28" s="21">
        <f>O28*B$4*(1-B$7)+O28*B$6*(B$7)</f>
        <v>2.2668939393939396</v>
      </c>
      <c r="Q28" s="21">
        <f t="shared" si="6"/>
        <v>-5.9720032828282825</v>
      </c>
      <c r="R28" s="21">
        <f>Q28*B$12</f>
        <v>-1.9707610833333333</v>
      </c>
      <c r="S28" s="21">
        <f t="shared" si="7"/>
        <v>-4.001242199494949</v>
      </c>
      <c r="T28" s="9"/>
      <c r="U28" s="21">
        <f t="shared" si="2"/>
        <v>0</v>
      </c>
      <c r="V28" s="21">
        <f>IF(V$15="Increase",IF(F28="y",0,IF($E28&gt;0,(O28*B$4*(1-B$7))*$E28*(1+V$16),0)),IF(F28="y",0,IF($E28&gt;0,(O28*B$4*(1-B$7))*$E28*(1-V$16),0)))</f>
        <v>0</v>
      </c>
      <c r="W28" s="21">
        <f>IF(W$15="Increase",IF(F28="y",0,IF($E28&gt;0,(O28*B$6*(B$7))*$E28*(1+W$16),0)),IF(F28="y",0,IF($E28&gt;0,(O28*B$6*(B$7))*$E28*(1-W$16),0)))</f>
        <v>0</v>
      </c>
      <c r="X28" s="21">
        <f t="shared" si="3"/>
        <v>0</v>
      </c>
      <c r="Y28" s="21">
        <f t="shared" si="4"/>
        <v>0</v>
      </c>
      <c r="Z28" s="21">
        <f t="shared" si="5"/>
        <v>0</v>
      </c>
      <c r="AA28" s="23"/>
      <c r="AB28" s="23"/>
    </row>
    <row r="29" spans="1:28" x14ac:dyDescent="0.2">
      <c r="A29" s="9" t="s">
        <v>20</v>
      </c>
      <c r="B29" s="115">
        <v>0.5</v>
      </c>
      <c r="C29" s="115">
        <v>0.5</v>
      </c>
      <c r="D29" s="132">
        <f>IF('Machinery(Heirloom)'!C17='Machinery(Heirloom)'!B72,'Machinery(Heirloom)'!D33,0)</f>
        <v>0.5</v>
      </c>
      <c r="E29" s="174">
        <f>IF('Machinery(Heirloom)'!B33='Machinery(Heirloom)'!G53,0,IF('Machinery(Heirloom)'!C17='Machinery(Heirloom)'!B72,D29,IF('Machinery(Heirloom)'!B33='Machinery(Heirloom)'!G54,IF('Machinery(Heirloom)'!C16='Machinery(Heirloom)'!B69,B29,C29))))</f>
        <v>0</v>
      </c>
      <c r="F29" s="175" t="str">
        <f>IF('Machinery(Heirloom)'!C17='Machinery(Heirloom)'!B73,'Machinery(Heirloom)'!B50,IF('Machinery(Heirloom)'!B33='Machinery(Heirloom)'!G54,'Machinery(Heirloom)'!E33,'Machinery(Heirloom)'!B50))</f>
        <v>N</v>
      </c>
      <c r="G29" s="33"/>
      <c r="H29" s="6">
        <v>13</v>
      </c>
      <c r="I29" s="327">
        <f>H29+J29+K29</f>
        <v>12.78725</v>
      </c>
      <c r="J29" s="6">
        <f>L29*(B$3-B$2)</f>
        <v>-0.21274999999999999</v>
      </c>
      <c r="K29" s="6">
        <f>(B$4*(1-B$7)+B$6*(B$7) - B$14)*O29</f>
        <v>0</v>
      </c>
      <c r="L29" s="11">
        <v>0.85099999999999998</v>
      </c>
      <c r="M29" s="21">
        <f t="shared" si="8"/>
        <v>1.7126374999999998</v>
      </c>
      <c r="N29" s="12">
        <v>0.14181818181818182</v>
      </c>
      <c r="O29" s="12">
        <f t="shared" si="9"/>
        <v>0.16309090909090906</v>
      </c>
      <c r="P29" s="21">
        <f>O29*B$4*(1-B$7)+O29*B$6*(B$7)</f>
        <v>2.4463636363636359</v>
      </c>
      <c r="Q29" s="21">
        <f t="shared" si="6"/>
        <v>8.6282488636363652</v>
      </c>
      <c r="R29" s="21">
        <f>Q29*B$12</f>
        <v>2.8473221250000007</v>
      </c>
      <c r="S29" s="21">
        <f t="shared" si="7"/>
        <v>5.7809267386363645</v>
      </c>
      <c r="T29" s="9"/>
      <c r="U29" s="21">
        <f t="shared" si="2"/>
        <v>0</v>
      </c>
      <c r="V29" s="21">
        <f>IF(V$15="Increase",IF(F29="y",0,IF($E29&gt;0,(O29*B$4*(1-B$7))*$E29*(1+V$16),0)),IF(F29="y",0,IF($E29&gt;0,(O29*B$4*(1-B$7))*$E29*(1-V$16),0)))</f>
        <v>0</v>
      </c>
      <c r="W29" s="21">
        <f>IF(W$15="Increase",IF(F29="y",0,IF($E29&gt;0,(O29*B$6*(B$7))*$E29*(1+W$16),0)),IF(F29="y",0,IF($E29&gt;0,(O29*B$6*(B$7))*$E29*(1-W$16),0)))</f>
        <v>0</v>
      </c>
      <c r="X29" s="21">
        <f t="shared" si="3"/>
        <v>0</v>
      </c>
      <c r="Y29" s="21">
        <f>IF(Y$15="Increase",IF(F29="y",0,IF($E29&gt;0,S29*$E29*(1+Y$16),0)),IF(F29="y",0,IF($E29&gt;0,S29*$E29*(1-Y$16),0)))</f>
        <v>0</v>
      </c>
      <c r="Z29" s="21">
        <f t="shared" si="5"/>
        <v>0</v>
      </c>
      <c r="AA29" s="23"/>
      <c r="AB29" s="23"/>
    </row>
    <row r="30" spans="1:28" x14ac:dyDescent="0.2">
      <c r="A30" s="9"/>
      <c r="B30" s="9"/>
      <c r="C30" s="9"/>
      <c r="D30" s="108"/>
      <c r="E30" s="176"/>
      <c r="F30" s="175"/>
      <c r="G30" s="33"/>
      <c r="H30" s="6"/>
      <c r="I30" s="6"/>
      <c r="J30" s="6"/>
      <c r="K30" s="6"/>
      <c r="L30" s="9"/>
      <c r="M30" s="9"/>
      <c r="N30" s="9"/>
      <c r="O30" s="9"/>
      <c r="P30" s="9"/>
      <c r="Q30" s="9"/>
      <c r="R30" s="9"/>
      <c r="S30" s="9"/>
      <c r="T30" s="9"/>
      <c r="U30" s="9"/>
      <c r="V30" s="9"/>
      <c r="W30" s="9"/>
      <c r="X30" s="9"/>
      <c r="Y30" s="9"/>
      <c r="Z30" s="9"/>
      <c r="AA30" s="23"/>
      <c r="AB30" s="23"/>
    </row>
    <row r="31" spans="1:28" x14ac:dyDescent="0.2">
      <c r="A31" s="10" t="s">
        <v>21</v>
      </c>
      <c r="B31" s="10"/>
      <c r="C31" s="10"/>
      <c r="D31" s="320"/>
      <c r="E31" s="176"/>
      <c r="F31" s="175"/>
      <c r="G31" s="33"/>
      <c r="H31" s="6"/>
      <c r="I31" s="6"/>
      <c r="J31" s="6"/>
      <c r="K31" s="6"/>
      <c r="L31" s="9"/>
      <c r="M31" s="9"/>
      <c r="N31" s="9"/>
      <c r="O31" s="9"/>
      <c r="P31" s="9"/>
      <c r="Q31" s="9"/>
      <c r="R31" s="9"/>
      <c r="S31" s="9"/>
      <c r="T31" s="9"/>
      <c r="U31" s="9"/>
      <c r="V31" s="9"/>
      <c r="W31" s="9"/>
      <c r="X31" s="9"/>
      <c r="Y31" s="9"/>
      <c r="Z31" s="9"/>
      <c r="AA31" s="23"/>
      <c r="AB31" s="23"/>
    </row>
    <row r="32" spans="1:28" x14ac:dyDescent="0.2">
      <c r="A32" s="9" t="s">
        <v>22</v>
      </c>
      <c r="B32" s="115">
        <v>1</v>
      </c>
      <c r="C32" s="115">
        <v>0</v>
      </c>
      <c r="D32" s="132">
        <f>IF('Machinery(Heirloom)'!C16='Machinery(Heirloom)'!B68,0,'Machinery(Heirloom)'!D22)</f>
        <v>0</v>
      </c>
      <c r="E32" s="174">
        <f>IF('Machinery(Heirloom)'!$C$17='Machinery(Heirloom)'!$B$72,D32,IF('Machinery(Heirloom)'!$C$16='Machinery(Heirloom)'!$B$69,B32,C32))</f>
        <v>0</v>
      </c>
      <c r="F32" s="175" t="str">
        <f>IF('Machinery(Heirloom)'!C17='Machinery(Heirloom)'!B73,'Machinery(Heirloom)'!B50,'Machinery(Heirloom)'!E22)</f>
        <v>N</v>
      </c>
      <c r="G32" s="33"/>
      <c r="H32" s="6">
        <v>19</v>
      </c>
      <c r="I32" s="327">
        <f>H32+J32+K32</f>
        <v>18.882375</v>
      </c>
      <c r="J32" s="6">
        <f>L32*(B$3-B$2)</f>
        <v>-0.11762500000000001</v>
      </c>
      <c r="K32" s="6">
        <f>(B$4*(1-B$7)+B$6*(B$7) - B$14)*O32</f>
        <v>0</v>
      </c>
      <c r="L32" s="11">
        <v>0.47050000000000003</v>
      </c>
      <c r="M32" s="21">
        <f>L32*B$3*(1+B$13)</f>
        <v>0.94688125000000001</v>
      </c>
      <c r="N32" s="12">
        <v>8.037037037037037E-2</v>
      </c>
      <c r="O32" s="12">
        <f t="shared" ref="O32" si="10">N32*(1+B$16)</f>
        <v>9.2425925925925911E-2</v>
      </c>
      <c r="P32" s="21">
        <f>O32*B$4*(1-B$7)+O32*B$6*(B$7)</f>
        <v>1.3863888888888887</v>
      </c>
      <c r="Q32" s="21">
        <f t="shared" ref="Q32:Q37" si="11">I32-M32-P32</f>
        <v>16.549104861111111</v>
      </c>
      <c r="R32" s="21">
        <f>Q32*B$12</f>
        <v>5.4612046041666673</v>
      </c>
      <c r="S32" s="21">
        <f t="shared" ref="S32:S37" si="12">Q32-R32</f>
        <v>11.087900256944444</v>
      </c>
      <c r="T32" s="9"/>
      <c r="U32" s="21">
        <f t="shared" ref="U32:U37" si="13">IF(U$15="Increase",IF(F32="y",0,IF($E32&gt;0,M32*$E32*(1+U$16),0)),IF(F32="y",0,IF($E32&gt;0,M32*$E32*(1-U$16),0)))</f>
        <v>0</v>
      </c>
      <c r="V32" s="21">
        <f>IF(V$15="Increase",IF(F32="y",0,IF($E32&gt;0,(O32*B$4*(1-B$7))*$E32*(1+V$16),0)),IF(F32="y",0,IF($E32&gt;0,(O32*B$4*(1-B$7))*$E32*(1-V$16),0)))</f>
        <v>0</v>
      </c>
      <c r="W32" s="21">
        <f>IF(W$15="Increase",IF(F32="y",0,IF($E32&gt;0,(O32*B$6*(B$7))*$E32*(1+W$16),0)),IF(F32="y",0,IF($E32&gt;0,(O32*B$6*(B$7))*$E32*(1-W$16),0)))</f>
        <v>0</v>
      </c>
      <c r="X32" s="21">
        <f t="shared" ref="X32:X37" si="14">IF(X$15="Increase",IF(F32="y",0,IF($E32&gt;0,R32*$E32*(1+X$16),0)),IF(F32="y",0,IF($E32&gt;0,R32*$E32*(1-X$16),0)))</f>
        <v>0</v>
      </c>
      <c r="Y32" s="21">
        <f t="shared" ref="Y32:Y37" si="15">IF(Y$15="Increase",IF(F32="y",0,IF($E32&gt;0,S32*$E32*(1+Y$16),0)),IF(F32="y",0,IF($E32&gt;0,S32*$E32*(1-Y$16),0)))</f>
        <v>0</v>
      </c>
      <c r="Z32" s="21">
        <f t="shared" ref="Z32:Z37" si="16">IF(Z$15="Increase",IF(F32="y",I32*E32*(1+Z$16),0),IF(F32="y",I32*E32*(1-Z$16),0))</f>
        <v>0</v>
      </c>
      <c r="AA32" s="23"/>
      <c r="AB32" s="23"/>
    </row>
    <row r="33" spans="1:28" x14ac:dyDescent="0.2">
      <c r="A33" s="9"/>
      <c r="B33" s="9"/>
      <c r="C33" s="9"/>
      <c r="D33" s="108"/>
      <c r="E33" s="176"/>
      <c r="F33" s="175"/>
      <c r="G33" s="33"/>
      <c r="H33" s="6"/>
      <c r="I33" s="6"/>
      <c r="J33" s="6"/>
      <c r="K33" s="6"/>
      <c r="L33" s="11"/>
      <c r="M33" s="21"/>
      <c r="N33" s="12"/>
      <c r="O33" s="12"/>
      <c r="P33" s="21"/>
      <c r="Q33" s="21"/>
      <c r="R33" s="21"/>
      <c r="S33" s="21"/>
      <c r="T33" s="9"/>
      <c r="U33" s="21"/>
      <c r="V33" s="21"/>
      <c r="W33" s="21"/>
      <c r="X33" s="21"/>
      <c r="Y33" s="21"/>
      <c r="Z33" s="21"/>
      <c r="AA33" s="23"/>
      <c r="AB33" s="23"/>
    </row>
    <row r="34" spans="1:28" x14ac:dyDescent="0.2">
      <c r="A34" s="9" t="s">
        <v>24</v>
      </c>
      <c r="B34" s="9"/>
      <c r="C34" s="9"/>
      <c r="D34" s="108"/>
      <c r="E34" s="176"/>
      <c r="F34" s="175"/>
      <c r="G34" s="33"/>
      <c r="H34" s="6"/>
      <c r="I34" s="6">
        <f>IF(G34&gt;0,G34,H34-(L34*B$2*1.05)+M34-O34*12.5+P34)</f>
        <v>0.21702800925925914</v>
      </c>
      <c r="J34" s="6"/>
      <c r="K34" s="6"/>
      <c r="L34" s="11">
        <v>0.52550000000000008</v>
      </c>
      <c r="M34" s="21">
        <f t="shared" ref="M34:M37" si="17">L34*B$3*(1+B$13)</f>
        <v>1.0575687500000002</v>
      </c>
      <c r="N34" s="12">
        <v>9.1481481481481469E-2</v>
      </c>
      <c r="O34" s="12">
        <f t="shared" ref="O34:O37" si="18">N34*(1+B$16)</f>
        <v>0.10520370370370369</v>
      </c>
      <c r="P34" s="21">
        <f t="shared" ref="P34:P37" si="19">O34*B$4*(1-B$7)+O34*B$6*(B$7)</f>
        <v>1.5780555555555553</v>
      </c>
      <c r="Q34" s="21">
        <f t="shared" si="11"/>
        <v>-2.4185962962962964</v>
      </c>
      <c r="R34" s="21">
        <f t="shared" ref="R34:R37" si="20">Q34*B$12</f>
        <v>-0.79813677777777781</v>
      </c>
      <c r="S34" s="21">
        <f t="shared" si="12"/>
        <v>-1.6204595185185187</v>
      </c>
      <c r="T34" s="9"/>
      <c r="U34" s="21">
        <f t="shared" si="13"/>
        <v>0</v>
      </c>
      <c r="V34" s="21">
        <f t="shared" ref="V34:V37" si="21">IF(V$15="Increase",IF(F34="y",0,IF($E34&gt;0,(O34*B$4*(1-B$7))*$E34*(1+V$16),0)),IF(F34="y",0,IF($E34&gt;0,(O34*B$4*(1-B$7))*$E34*(1-V$16),0)))</f>
        <v>0</v>
      </c>
      <c r="W34" s="21">
        <f t="shared" ref="W34:W37" si="22">IF(W$15="Increase",IF(F34="y",0,IF($E34&gt;0,(O34*B$6*(B$7))*$E34*(1+W$16),0)),IF(F34="y",0,IF($E34&gt;0,(O34*B$6*(B$7))*$E34*(1-W$16),0)))</f>
        <v>0</v>
      </c>
      <c r="X34" s="21">
        <f t="shared" si="14"/>
        <v>0</v>
      </c>
      <c r="Y34" s="21">
        <f t="shared" si="15"/>
        <v>0</v>
      </c>
      <c r="Z34" s="21">
        <f t="shared" si="16"/>
        <v>0</v>
      </c>
      <c r="AA34" s="23"/>
      <c r="AB34" s="23"/>
    </row>
    <row r="35" spans="1:28" x14ac:dyDescent="0.2">
      <c r="A35" s="9" t="s">
        <v>25</v>
      </c>
      <c r="B35" s="9"/>
      <c r="C35" s="9"/>
      <c r="D35" s="108"/>
      <c r="E35" s="176"/>
      <c r="F35" s="175"/>
      <c r="G35" s="33"/>
      <c r="H35" s="6"/>
      <c r="I35" s="6">
        <f>IF(G35&gt;0,G35,H35-(L35*B$2*1.05)+M35-O35*12.5+P35)</f>
        <v>0.21702800925925914</v>
      </c>
      <c r="J35" s="6"/>
      <c r="K35" s="6"/>
      <c r="L35" s="11">
        <v>0.52550000000000008</v>
      </c>
      <c r="M35" s="21">
        <f t="shared" si="17"/>
        <v>1.0575687500000002</v>
      </c>
      <c r="N35" s="12">
        <v>9.1481481481481469E-2</v>
      </c>
      <c r="O35" s="12">
        <f t="shared" si="18"/>
        <v>0.10520370370370369</v>
      </c>
      <c r="P35" s="21">
        <f t="shared" si="19"/>
        <v>1.5780555555555553</v>
      </c>
      <c r="Q35" s="21">
        <f t="shared" si="11"/>
        <v>-2.4185962962962964</v>
      </c>
      <c r="R35" s="21">
        <f t="shared" si="20"/>
        <v>-0.79813677777777781</v>
      </c>
      <c r="S35" s="21">
        <f t="shared" si="12"/>
        <v>-1.6204595185185187</v>
      </c>
      <c r="T35" s="9"/>
      <c r="U35" s="21">
        <f t="shared" si="13"/>
        <v>0</v>
      </c>
      <c r="V35" s="21">
        <f t="shared" si="21"/>
        <v>0</v>
      </c>
      <c r="W35" s="21">
        <f t="shared" si="22"/>
        <v>0</v>
      </c>
      <c r="X35" s="21">
        <f t="shared" si="14"/>
        <v>0</v>
      </c>
      <c r="Y35" s="21">
        <f t="shared" si="15"/>
        <v>0</v>
      </c>
      <c r="Z35" s="21">
        <f t="shared" si="16"/>
        <v>0</v>
      </c>
      <c r="AA35" s="23"/>
      <c r="AB35" s="23"/>
    </row>
    <row r="36" spans="1:28" x14ac:dyDescent="0.2">
      <c r="A36" s="65" t="s">
        <v>373</v>
      </c>
      <c r="B36" s="115">
        <v>0.5</v>
      </c>
      <c r="C36" s="115">
        <v>0</v>
      </c>
      <c r="D36" s="132" t="b">
        <f>IF('Machinery(Heirloom)'!C16='Machinery(Heirloom)'!B69,IF('Machinery(Heirloom)'!B32='Machinery(Heirloom)'!G52,'Machinery(Heirloom)'!D32,0))</f>
        <v>0</v>
      </c>
      <c r="E36" s="174" t="b">
        <f>IF('Machinery(Heirloom)'!$C$17='Machinery(Heirloom)'!$B$72,D36,IF('Machinery(Heirloom)'!$C$16='Machinery(Heirloom)'!$B$69,IF('Machinery(Heirloom)'!B32='Machinery(Heirloom)'!G52,B36,C36)))</f>
        <v>0</v>
      </c>
      <c r="F36" s="175" t="b">
        <f>IF('Machinery(Heirloom)'!C17='Machinery(Heirloom)'!B73,'Machinery(Heirloom)'!B50,IF('Machinery(Heirloom)'!C16='Machinery(Heirloom)'!B69,IF('Machinery(Heirloom)'!B32='Machinery(Heirloom)'!G52,'Machinery(Heirloom)'!E32,'Machinery(Heirloom)'!B50)))</f>
        <v>0</v>
      </c>
      <c r="G36" s="33"/>
      <c r="H36" s="6">
        <v>12.5</v>
      </c>
      <c r="I36" s="6">
        <f>H36+J36+K36</f>
        <v>12.366</v>
      </c>
      <c r="J36" s="6">
        <f>L36*(B$3-B$2)</f>
        <v>-0.13400000000000001</v>
      </c>
      <c r="K36" s="6">
        <f>(B$4*(1-B$7)+B$6*(B$7) - B$14)*O36</f>
        <v>0</v>
      </c>
      <c r="L36" s="11">
        <v>0.53600000000000003</v>
      </c>
      <c r="M36" s="21">
        <f t="shared" si="17"/>
        <v>1.0787</v>
      </c>
      <c r="N36" s="12">
        <v>9.9000000000000005E-2</v>
      </c>
      <c r="O36" s="12">
        <f t="shared" si="18"/>
        <v>0.11384999999999999</v>
      </c>
      <c r="P36" s="21">
        <f t="shared" si="19"/>
        <v>1.7077499999999999</v>
      </c>
      <c r="Q36" s="21">
        <f t="shared" si="11"/>
        <v>9.5795500000000011</v>
      </c>
      <c r="R36" s="21">
        <f t="shared" si="20"/>
        <v>3.1612515000000005</v>
      </c>
      <c r="S36" s="21">
        <f t="shared" si="12"/>
        <v>6.4182985000000006</v>
      </c>
      <c r="T36" s="9"/>
      <c r="U36" s="21">
        <f>IF(U$15="Increase",IF(F36="y",0,IF($E36&gt;0,M36*$E36*(1+U$16),0)),IF(F36="y",0,IF($E36&gt;0,M36*$E36*(1-U$16),0)))</f>
        <v>0</v>
      </c>
      <c r="V36" s="21">
        <f t="shared" si="21"/>
        <v>0</v>
      </c>
      <c r="W36" s="21">
        <f t="shared" si="22"/>
        <v>0</v>
      </c>
      <c r="X36" s="21">
        <f>IF(X$15="Increase",IF(F36="y",0,IF($E36&gt;0,R36*$E36*(1+X$16),0)),IF(F36="y",0,IF($E36&gt;0,R36*$E36*(1-X$16),0)))</f>
        <v>0</v>
      </c>
      <c r="Y36" s="21">
        <f>IF(Y$15="Increase",IF(F36="y",0,IF($E36&gt;0,S36*$E36*(1+Y$16),0)),IF(F36="y",0,IF($E36&gt;0,S36*$E36*(1-Y$16),0)))</f>
        <v>0</v>
      </c>
      <c r="Z36" s="21">
        <f>IF(Z$15="Increase",IF(F36="y",I36*E36*(1+Z$16),0),IF(F36="y",I36*E36*(1-Z$16),0))</f>
        <v>0</v>
      </c>
      <c r="AA36" s="23"/>
      <c r="AB36" s="23"/>
    </row>
    <row r="37" spans="1:28" x14ac:dyDescent="0.2">
      <c r="A37" s="9" t="s">
        <v>26</v>
      </c>
      <c r="B37" s="115">
        <v>0.5</v>
      </c>
      <c r="C37" s="115">
        <v>0</v>
      </c>
      <c r="D37" s="132" t="b">
        <f>IF('Machinery(Heirloom)'!C16='Machinery(Heirloom)'!B69,IF('Machinery(Heirloom)'!B32='Machinery(Heirloom)'!G51,'Machinery(Heirloom)'!D32,0))</f>
        <v>0</v>
      </c>
      <c r="E37" s="174" t="b">
        <f>IF('Machinery(Heirloom)'!$C$17='Machinery(Heirloom)'!$B$72,D37,IF('Machinery(Heirloom)'!$C$16='Machinery(Heirloom)'!$B$69,IF('Machinery(Heirloom)'!B32='Machinery(Heirloom)'!G51,B37,C37)))</f>
        <v>0</v>
      </c>
      <c r="F37" s="175" t="b">
        <f>IF('Machinery(Heirloom)'!C17='Machinery(Heirloom)'!B73,'Machinery(Heirloom)'!B50,IF('Machinery(Heirloom)'!C16='Machinery(Heirloom)'!B69,IF('Machinery(Heirloom)'!B32='Machinery(Heirloom)'!G51,'Machinery(Heirloom)'!E32,'Machinery(Heirloom)'!B50)))</f>
        <v>0</v>
      </c>
      <c r="G37" s="33"/>
      <c r="H37" s="6">
        <v>18</v>
      </c>
      <c r="I37" s="327">
        <f>H37+J37+K37</f>
        <v>17.81175</v>
      </c>
      <c r="J37" s="6">
        <f>L37*(B$3-B$2)</f>
        <v>-0.18825</v>
      </c>
      <c r="K37" s="6">
        <f>(B$4*(1-B$7)+B$6*(B$7) - B$14)*O37</f>
        <v>0</v>
      </c>
      <c r="L37" s="11">
        <v>0.753</v>
      </c>
      <c r="M37" s="21">
        <f t="shared" si="17"/>
        <v>1.5154124999999998</v>
      </c>
      <c r="N37" s="12">
        <v>0.13851851851851851</v>
      </c>
      <c r="O37" s="12">
        <f t="shared" si="18"/>
        <v>0.15929629629629627</v>
      </c>
      <c r="P37" s="21">
        <f t="shared" si="19"/>
        <v>2.389444444444444</v>
      </c>
      <c r="Q37" s="21">
        <f t="shared" si="11"/>
        <v>13.906893055555557</v>
      </c>
      <c r="R37" s="21">
        <f t="shared" si="20"/>
        <v>4.5892747083333338</v>
      </c>
      <c r="S37" s="21">
        <f t="shared" si="12"/>
        <v>9.317618347222222</v>
      </c>
      <c r="T37" s="9"/>
      <c r="U37" s="21">
        <f t="shared" si="13"/>
        <v>0</v>
      </c>
      <c r="V37" s="21">
        <f t="shared" si="21"/>
        <v>0</v>
      </c>
      <c r="W37" s="21">
        <f t="shared" si="22"/>
        <v>0</v>
      </c>
      <c r="X37" s="21">
        <f t="shared" si="14"/>
        <v>0</v>
      </c>
      <c r="Y37" s="21">
        <f t="shared" si="15"/>
        <v>0</v>
      </c>
      <c r="Z37" s="21">
        <f t="shared" si="16"/>
        <v>0</v>
      </c>
      <c r="AA37" s="23"/>
      <c r="AB37" s="23"/>
    </row>
    <row r="38" spans="1:28" x14ac:dyDescent="0.2">
      <c r="A38" s="9"/>
      <c r="B38" s="9"/>
      <c r="C38" s="9"/>
      <c r="D38" s="108"/>
      <c r="E38" s="176"/>
      <c r="F38" s="175"/>
      <c r="G38" s="33"/>
      <c r="H38" s="6"/>
      <c r="I38" s="6"/>
      <c r="J38" s="6"/>
      <c r="K38" s="6"/>
      <c r="L38" s="9"/>
      <c r="M38" s="9"/>
      <c r="N38" s="9"/>
      <c r="O38" s="9"/>
      <c r="P38" s="9"/>
      <c r="Q38" s="9"/>
      <c r="R38" s="9"/>
      <c r="S38" s="9"/>
      <c r="T38" s="9"/>
      <c r="U38" s="9"/>
      <c r="V38" s="9"/>
      <c r="W38" s="9"/>
      <c r="X38" s="9"/>
      <c r="Y38" s="9"/>
      <c r="Z38" s="9"/>
      <c r="AA38" s="23"/>
      <c r="AB38" s="23"/>
    </row>
    <row r="39" spans="1:28" x14ac:dyDescent="0.2">
      <c r="A39" s="10" t="s">
        <v>27</v>
      </c>
      <c r="B39" s="10"/>
      <c r="C39" s="10"/>
      <c r="D39" s="320"/>
      <c r="E39" s="176"/>
      <c r="F39" s="175"/>
      <c r="G39" s="33"/>
      <c r="H39" s="6"/>
      <c r="I39" s="6"/>
      <c r="J39" s="6"/>
      <c r="K39" s="6"/>
      <c r="L39" s="9"/>
      <c r="M39" s="9"/>
      <c r="N39" s="9"/>
      <c r="O39" s="9"/>
      <c r="P39" s="9"/>
      <c r="Q39" s="9"/>
      <c r="R39" s="9"/>
      <c r="S39" s="9"/>
      <c r="T39" s="9"/>
      <c r="U39" s="9"/>
      <c r="V39" s="9"/>
      <c r="W39" s="9"/>
      <c r="X39" s="9"/>
      <c r="Y39" s="9"/>
      <c r="Z39" s="9"/>
      <c r="AA39" s="23"/>
      <c r="AB39" s="23"/>
    </row>
    <row r="40" spans="1:28" x14ac:dyDescent="0.2">
      <c r="A40" s="9" t="s">
        <v>28</v>
      </c>
      <c r="B40" s="115">
        <v>0</v>
      </c>
      <c r="C40" s="115">
        <v>1</v>
      </c>
      <c r="D40" s="132">
        <f>IF('Machinery(Heirloom)'!C16='Machinery(Heirloom)'!B69,0,'Machinery(Heirloom)'!D22)</f>
        <v>1</v>
      </c>
      <c r="E40" s="174">
        <f>IF('Machinery(Heirloom)'!$C$17='Machinery(Heirloom)'!$B$72,D40,IF('Machinery(Heirloom)'!$C$16='Machinery(Heirloom)'!$B$69,B40,C40))</f>
        <v>1</v>
      </c>
      <c r="F40" s="175" t="str">
        <f>IF('Machinery(Heirloom)'!C17='Machinery(Heirloom)'!B73,'Machinery(Heirloom)'!B50,'Machinery(Heirloom)'!E22)</f>
        <v>N</v>
      </c>
      <c r="G40" s="33"/>
      <c r="H40" s="6">
        <v>20.5</v>
      </c>
      <c r="I40" s="327">
        <f>H40+J40+K40</f>
        <v>20.3010625</v>
      </c>
      <c r="J40" s="6">
        <f>L40*(B$3-B$2)</f>
        <v>-0.19893749999999999</v>
      </c>
      <c r="K40" s="6">
        <f>(B$4*(1-B$7)+B$6*(B$7) - B$14)*O40</f>
        <v>0</v>
      </c>
      <c r="L40" s="11">
        <v>0.79574999999999996</v>
      </c>
      <c r="M40" s="21">
        <f>L40*B$3*(1+B$13)</f>
        <v>1.6014468749999997</v>
      </c>
      <c r="N40" s="12">
        <v>0.1025925925925926</v>
      </c>
      <c r="O40" s="12">
        <f t="shared" ref="O40:O44" si="23">N40*(1+B$16)</f>
        <v>0.11798148148148148</v>
      </c>
      <c r="P40" s="21">
        <f t="shared" ref="P40:P44" si="24">O40*B$4*(1-B$7)+O40*B$6*(B$7)</f>
        <v>1.7697222222222222</v>
      </c>
      <c r="Q40" s="21">
        <f t="shared" ref="Q40:Q44" si="25">I40-M40-P40</f>
        <v>16.929893402777779</v>
      </c>
      <c r="R40" s="21">
        <f t="shared" ref="R40:R44" si="26">Q40*B$12</f>
        <v>5.5868648229166675</v>
      </c>
      <c r="S40" s="21">
        <f t="shared" ref="S40:S44" si="27">Q40-R40</f>
        <v>11.343028579861112</v>
      </c>
      <c r="T40" s="9"/>
      <c r="U40" s="21">
        <f t="shared" ref="U40:U44" si="28">IF(U$15="Increase",IF(F40="y",0,IF($E40&gt;0,M40*$E40*(1+U$16),0)),IF(F40="y",0,IF($E40&gt;0,M40*$E40*(1-U$16),0)))</f>
        <v>1.6014468749999997</v>
      </c>
      <c r="V40" s="21">
        <f t="shared" ref="V40:V44" si="29">IF(V$15="Increase",IF(F40="y",0,IF($E40&gt;0,(O40*B$4*(1-B$7))*$E40*(1+V$16),0)),IF(F40="y",0,IF($E40&gt;0,(O40*B$4*(1-B$7))*$E40*(1-V$16),0)))</f>
        <v>1.7697222222222222</v>
      </c>
      <c r="W40" s="21">
        <f t="shared" ref="W40:W44" si="30">IF(W$15="Increase",IF(F40="y",0,IF($E40&gt;0,(O40*B$6*(B$7))*$E40*(1+W$16),0)),IF(F40="y",0,IF($E40&gt;0,(O40*B$6*(B$7))*$E40*(1-W$16),0)))</f>
        <v>0</v>
      </c>
      <c r="X40" s="21">
        <f t="shared" ref="X40:X44" si="31">IF(X$15="Increase",IF(F40="y",0,IF($E40&gt;0,R40*$E40*(1+X$16),0)),IF(F40="y",0,IF($E40&gt;0,R40*$E40*(1-X$16),0)))</f>
        <v>5.5868648229166675</v>
      </c>
      <c r="Y40" s="21">
        <f t="shared" ref="Y40:Y44" si="32">IF(Y$15="Increase",IF(F40="y",0,IF($E40&gt;0,S40*$E40*(1+Y$16),0)),IF(F40="y",0,IF($E40&gt;0,S40*$E40*(1-Y$16),0)))</f>
        <v>11.343028579861112</v>
      </c>
      <c r="Z40" s="21">
        <f t="shared" ref="Z40:Z44" si="33">IF(Z$15="Increase",IF(F40="y",I40*E40*(1+Z$16),0),IF(F40="y",I40*E40*(1-Z$16),0))</f>
        <v>0</v>
      </c>
      <c r="AA40" s="23"/>
      <c r="AB40" s="23"/>
    </row>
    <row r="41" spans="1:28" x14ac:dyDescent="0.2">
      <c r="A41" s="9" t="s">
        <v>24</v>
      </c>
      <c r="B41" s="9"/>
      <c r="C41" s="9"/>
      <c r="D41" s="108"/>
      <c r="E41" s="176"/>
      <c r="F41" s="175"/>
      <c r="G41" s="33"/>
      <c r="H41" s="6"/>
      <c r="I41" s="6">
        <f>IF(G41&gt;0,G41,H41-(L41*B$2*1.05)+M41-O41*12.5+P41)</f>
        <v>0.2253255787037034</v>
      </c>
      <c r="J41" s="6"/>
      <c r="K41" s="6"/>
      <c r="L41" s="11">
        <v>0.79574999999999996</v>
      </c>
      <c r="M41" s="21">
        <f t="shared" ref="M41:M44" si="34">L41*B$3*(1+B$13)</f>
        <v>1.6014468749999997</v>
      </c>
      <c r="N41" s="12">
        <v>0.1025925925925926</v>
      </c>
      <c r="O41" s="12">
        <f t="shared" si="23"/>
        <v>0.11798148148148148</v>
      </c>
      <c r="P41" s="21">
        <f t="shared" si="24"/>
        <v>1.7697222222222222</v>
      </c>
      <c r="Q41" s="21">
        <f t="shared" si="25"/>
        <v>-3.1458435185185185</v>
      </c>
      <c r="R41" s="21">
        <f t="shared" si="26"/>
        <v>-1.0381283611111112</v>
      </c>
      <c r="S41" s="21">
        <f t="shared" si="27"/>
        <v>-2.1077151574074073</v>
      </c>
      <c r="T41" s="9"/>
      <c r="U41" s="21">
        <f t="shared" si="28"/>
        <v>0</v>
      </c>
      <c r="V41" s="21">
        <f t="shared" si="29"/>
        <v>0</v>
      </c>
      <c r="W41" s="21">
        <f t="shared" si="30"/>
        <v>0</v>
      </c>
      <c r="X41" s="21">
        <f t="shared" si="31"/>
        <v>0</v>
      </c>
      <c r="Y41" s="21">
        <f t="shared" si="32"/>
        <v>0</v>
      </c>
      <c r="Z41" s="21">
        <f t="shared" si="33"/>
        <v>0</v>
      </c>
      <c r="AA41" s="23"/>
      <c r="AB41" s="23"/>
    </row>
    <row r="42" spans="1:28" x14ac:dyDescent="0.2">
      <c r="A42" s="9" t="s">
        <v>25</v>
      </c>
      <c r="B42" s="9"/>
      <c r="C42" s="9"/>
      <c r="D42" s="108"/>
      <c r="E42" s="176"/>
      <c r="F42" s="175"/>
      <c r="G42" s="33"/>
      <c r="H42" s="6"/>
      <c r="I42" s="6">
        <f>IF(G42&gt;0,G42,H42-(L42*B$2*1.05)+M42-O42*12.5+P42)</f>
        <v>0.2253255787037034</v>
      </c>
      <c r="J42" s="6"/>
      <c r="K42" s="6"/>
      <c r="L42" s="11">
        <v>0.79574999999999996</v>
      </c>
      <c r="M42" s="21">
        <f t="shared" si="34"/>
        <v>1.6014468749999997</v>
      </c>
      <c r="N42" s="12">
        <v>0.1025925925925926</v>
      </c>
      <c r="O42" s="12">
        <f t="shared" si="23"/>
        <v>0.11798148148148148</v>
      </c>
      <c r="P42" s="21">
        <f t="shared" si="24"/>
        <v>1.7697222222222222</v>
      </c>
      <c r="Q42" s="21">
        <f t="shared" si="25"/>
        <v>-3.1458435185185185</v>
      </c>
      <c r="R42" s="21">
        <f t="shared" si="26"/>
        <v>-1.0381283611111112</v>
      </c>
      <c r="S42" s="21">
        <f t="shared" si="27"/>
        <v>-2.1077151574074073</v>
      </c>
      <c r="T42" s="9"/>
      <c r="U42" s="21">
        <f t="shared" si="28"/>
        <v>0</v>
      </c>
      <c r="V42" s="21">
        <f t="shared" si="29"/>
        <v>0</v>
      </c>
      <c r="W42" s="21">
        <f t="shared" si="30"/>
        <v>0</v>
      </c>
      <c r="X42" s="21">
        <f t="shared" si="31"/>
        <v>0</v>
      </c>
      <c r="Y42" s="21">
        <f t="shared" si="32"/>
        <v>0</v>
      </c>
      <c r="Z42" s="21">
        <f t="shared" si="33"/>
        <v>0</v>
      </c>
      <c r="AA42" s="23"/>
      <c r="AB42" s="23"/>
    </row>
    <row r="43" spans="1:28" x14ac:dyDescent="0.2">
      <c r="A43" s="65" t="s">
        <v>373</v>
      </c>
      <c r="B43" s="115">
        <v>0</v>
      </c>
      <c r="C43" s="115">
        <v>0.5</v>
      </c>
      <c r="D43" s="132">
        <f>IF('Machinery(Heirloom)'!C16='Machinery(Heirloom)'!B68,IF('Machinery(Heirloom)'!B32='Machinery(Heirloom)'!G52,'Machinery(Heirloom)'!D32,0))</f>
        <v>0</v>
      </c>
      <c r="E43" s="174">
        <f>IF('Machinery(Heirloom)'!$C$17='Machinery(Heirloom)'!$B$72,D43,IF('Machinery(Heirloom)'!$C$16='Machinery(Heirloom)'!$B$68,IF('Machinery(Heirloom)'!B32='Machinery(Heirloom)'!G52,C43,B43)))</f>
        <v>0</v>
      </c>
      <c r="F43" s="175" t="str">
        <f>IF('Machinery(Heirloom)'!C17='Machinery(Heirloom)'!B73,'Machinery(Heirloom)'!B50,IF('Machinery(Heirloom)'!C16='Machinery(Heirloom)'!B68,IF('Machinery(Heirloom)'!B32='Machinery(Heirloom)'!G52,'Machinery(Heirloom)'!E32,'Machinery(Heirloom)'!B50)))</f>
        <v>N</v>
      </c>
      <c r="G43" s="33"/>
      <c r="H43" s="6">
        <v>12.5</v>
      </c>
      <c r="I43" s="6">
        <f t="shared" ref="I43:I44" si="35">H43+J43+K43</f>
        <v>12.366</v>
      </c>
      <c r="J43" s="6">
        <f t="shared" ref="J43:J44" si="36">L43*(B$3-B$2)</f>
        <v>-0.13400000000000001</v>
      </c>
      <c r="K43" s="6">
        <f t="shared" ref="K43:K44" si="37">(B$4*(1-B$7)+B$6*(B$7) - B$14)*O43</f>
        <v>0</v>
      </c>
      <c r="L43" s="11">
        <v>0.53600000000000003</v>
      </c>
      <c r="M43" s="21">
        <f t="shared" si="34"/>
        <v>1.0787</v>
      </c>
      <c r="N43" s="12">
        <v>9.9000000000000005E-2</v>
      </c>
      <c r="O43" s="12">
        <f t="shared" si="23"/>
        <v>0.11384999999999999</v>
      </c>
      <c r="P43" s="21">
        <f t="shared" si="24"/>
        <v>1.7077499999999999</v>
      </c>
      <c r="Q43" s="21">
        <f t="shared" si="25"/>
        <v>9.5795500000000011</v>
      </c>
      <c r="R43" s="21">
        <f t="shared" si="26"/>
        <v>3.1612515000000005</v>
      </c>
      <c r="S43" s="21">
        <f t="shared" si="27"/>
        <v>6.4182985000000006</v>
      </c>
      <c r="T43" s="9"/>
      <c r="U43" s="21">
        <f t="shared" si="28"/>
        <v>0</v>
      </c>
      <c r="V43" s="21">
        <f t="shared" si="29"/>
        <v>0</v>
      </c>
      <c r="W43" s="21">
        <f t="shared" si="30"/>
        <v>0</v>
      </c>
      <c r="X43" s="21">
        <f t="shared" si="31"/>
        <v>0</v>
      </c>
      <c r="Y43" s="21">
        <f t="shared" si="32"/>
        <v>0</v>
      </c>
      <c r="Z43" s="21">
        <f t="shared" si="33"/>
        <v>0</v>
      </c>
      <c r="AA43" s="23"/>
      <c r="AB43" s="23"/>
    </row>
    <row r="44" spans="1:28" x14ac:dyDescent="0.2">
      <c r="A44" s="9" t="s">
        <v>26</v>
      </c>
      <c r="B44" s="115">
        <v>0</v>
      </c>
      <c r="C44" s="115">
        <v>0.5</v>
      </c>
      <c r="D44" s="132">
        <f>IF('Machinery(Heirloom)'!C16='Machinery(Heirloom)'!B68,IF('Machinery(Heirloom)'!B32='Machinery(Heirloom)'!G51,'Machinery(Heirloom)'!D32,0))</f>
        <v>0</v>
      </c>
      <c r="E44" s="174">
        <f>IF('Machinery(Heirloom)'!$C$17='Machinery(Heirloom)'!$B$72,D44,IF('Machinery(Heirloom)'!$C$16='Machinery(Heirloom)'!$B$68,IF('Machinery(Heirloom)'!B32='Machinery(Heirloom)'!G51,C44,B44)))</f>
        <v>0</v>
      </c>
      <c r="F44" s="175" t="str">
        <f>IF('Machinery(Heirloom)'!C17='Machinery(Heirloom)'!B73,'Machinery(Heirloom)'!B50,IF('Machinery(Heirloom)'!C16='Machinery(Heirloom)'!B68,IF('Machinery(Heirloom)'!B32='Machinery(Heirloom)'!G51,'Machinery(Heirloom)'!E32,'Machinery(Heirloom)'!B50)))</f>
        <v>N</v>
      </c>
      <c r="G44" s="33"/>
      <c r="H44" s="6">
        <v>19</v>
      </c>
      <c r="I44" s="327">
        <f t="shared" si="35"/>
        <v>18.787312499999999</v>
      </c>
      <c r="J44" s="6">
        <f t="shared" si="36"/>
        <v>-0.2126875</v>
      </c>
      <c r="K44" s="6">
        <f t="shared" si="37"/>
        <v>0</v>
      </c>
      <c r="L44" s="11">
        <v>0.85075000000000001</v>
      </c>
      <c r="M44" s="21">
        <f t="shared" si="34"/>
        <v>1.712134375</v>
      </c>
      <c r="N44" s="12">
        <v>0.12481481481481482</v>
      </c>
      <c r="O44" s="12">
        <f t="shared" si="23"/>
        <v>0.14353703703703705</v>
      </c>
      <c r="P44" s="21">
        <f t="shared" si="24"/>
        <v>2.1530555555555555</v>
      </c>
      <c r="Q44" s="21">
        <f t="shared" si="25"/>
        <v>14.922122569444442</v>
      </c>
      <c r="R44" s="21">
        <f t="shared" si="26"/>
        <v>4.9243004479166661</v>
      </c>
      <c r="S44" s="21">
        <f t="shared" si="27"/>
        <v>9.9978221215277756</v>
      </c>
      <c r="T44" s="9"/>
      <c r="U44" s="21">
        <f t="shared" si="28"/>
        <v>0</v>
      </c>
      <c r="V44" s="21">
        <f t="shared" si="29"/>
        <v>0</v>
      </c>
      <c r="W44" s="21">
        <f t="shared" si="30"/>
        <v>0</v>
      </c>
      <c r="X44" s="21">
        <f t="shared" si="31"/>
        <v>0</v>
      </c>
      <c r="Y44" s="21">
        <f t="shared" si="32"/>
        <v>0</v>
      </c>
      <c r="Z44" s="21">
        <f t="shared" si="33"/>
        <v>0</v>
      </c>
      <c r="AA44" s="23"/>
      <c r="AB44" s="23"/>
    </row>
    <row r="45" spans="1:28" x14ac:dyDescent="0.2">
      <c r="A45" s="9"/>
      <c r="B45" s="9"/>
      <c r="C45" s="9"/>
      <c r="D45" s="108"/>
      <c r="E45" s="176"/>
      <c r="F45" s="175"/>
      <c r="G45" s="33"/>
      <c r="H45" s="6"/>
      <c r="I45" s="6"/>
      <c r="J45" s="6"/>
      <c r="K45" s="6"/>
      <c r="L45" s="9"/>
      <c r="M45" s="9"/>
      <c r="N45" s="9"/>
      <c r="O45" s="9"/>
      <c r="P45" s="9"/>
      <c r="Q45" s="9"/>
      <c r="R45" s="9"/>
      <c r="S45" s="9"/>
      <c r="T45" s="9"/>
      <c r="U45" s="9"/>
      <c r="V45" s="9"/>
      <c r="W45" s="9"/>
      <c r="X45" s="9"/>
      <c r="Y45" s="9"/>
      <c r="Z45" s="9"/>
      <c r="AA45" s="23"/>
      <c r="AB45" s="23"/>
    </row>
    <row r="46" spans="1:28" x14ac:dyDescent="0.2">
      <c r="A46" s="10" t="s">
        <v>29</v>
      </c>
      <c r="B46" s="10"/>
      <c r="C46" s="10"/>
      <c r="D46" s="320"/>
      <c r="E46" s="176"/>
      <c r="F46" s="175"/>
      <c r="G46" s="33"/>
      <c r="H46" s="6"/>
      <c r="I46" s="6"/>
      <c r="J46" s="6"/>
      <c r="K46" s="6"/>
      <c r="L46" s="9"/>
      <c r="M46" s="9"/>
      <c r="N46" s="9"/>
      <c r="O46" s="9"/>
      <c r="P46" s="9"/>
      <c r="Q46" s="9"/>
      <c r="R46" s="9"/>
      <c r="S46" s="9"/>
      <c r="T46" s="9"/>
      <c r="U46" s="9"/>
      <c r="V46" s="9"/>
      <c r="W46" s="9"/>
      <c r="X46" s="9"/>
      <c r="Y46" s="9"/>
      <c r="Z46" s="9"/>
      <c r="AA46" s="23"/>
      <c r="AB46" s="23"/>
    </row>
    <row r="47" spans="1:28" x14ac:dyDescent="0.2">
      <c r="A47" s="9" t="s">
        <v>30</v>
      </c>
      <c r="B47" s="115">
        <v>1</v>
      </c>
      <c r="C47" s="115">
        <v>1</v>
      </c>
      <c r="D47" s="132">
        <f>'Machinery(Heirloom)'!D26</f>
        <v>1</v>
      </c>
      <c r="E47" s="174">
        <f>IF('Machinery(Heirloom)'!$C$17='Machinery(Heirloom)'!$B$72,D47,IF('Machinery(Heirloom)'!$C$16='Machinery(Heirloom)'!$B$69,B47,C47))</f>
        <v>1</v>
      </c>
      <c r="F47" s="175" t="str">
        <f>IF('Machinery(Heirloom)'!C17='Machinery(Heirloom)'!B73,'Machinery(Heirloom)'!B50,'Machinery(Heirloom)'!E26)</f>
        <v>N</v>
      </c>
      <c r="G47" s="33"/>
      <c r="H47" s="6">
        <v>32.5</v>
      </c>
      <c r="I47" s="327">
        <f>H47+J47+K47</f>
        <v>31.937562499999999</v>
      </c>
      <c r="J47" s="6">
        <f>L47*(B$3-B$2)</f>
        <v>-0.56243749999999992</v>
      </c>
      <c r="K47" s="6">
        <f>(B$4*(1-B$7)+B$6*(B$7) - B$14)*O47</f>
        <v>0</v>
      </c>
      <c r="L47" s="11">
        <v>2.2497499999999997</v>
      </c>
      <c r="M47" s="21">
        <f t="shared" ref="M47:M50" si="38">L47*B$3*(1+B$13)</f>
        <v>4.5276218749999995</v>
      </c>
      <c r="N47" s="12">
        <v>0.18962962962962962</v>
      </c>
      <c r="O47" s="12">
        <f t="shared" ref="O47:O50" si="39">N47*(1+B$16)</f>
        <v>0.21807407407407406</v>
      </c>
      <c r="P47" s="21">
        <f>O47*B$4*(1-B$7)+O47*B$6*(B$7)</f>
        <v>3.2711111111111109</v>
      </c>
      <c r="Q47" s="21">
        <f t="shared" ref="Q47:Q50" si="40">I47-M47-P47</f>
        <v>24.138829513888886</v>
      </c>
      <c r="R47" s="21">
        <f>Q47*B$12</f>
        <v>7.9658137395833331</v>
      </c>
      <c r="S47" s="21">
        <f t="shared" ref="S47:S50" si="41">Q47-R47</f>
        <v>16.173015774305554</v>
      </c>
      <c r="T47" s="9"/>
      <c r="U47" s="21">
        <f t="shared" ref="U47:U50" si="42">IF(U$15="Increase",IF(F47="y",0,IF($E47&gt;0,M47*$E47*(1+U$16),0)),IF(F47="y",0,IF($E47&gt;0,M47*$E47*(1-U$16),0)))</f>
        <v>4.5276218749999995</v>
      </c>
      <c r="V47" s="21">
        <f>IF(V$15="Increase",IF(F47="y",0,IF($E47&gt;0,(O47*B$4*(1-B$7))*$E47*(1+V$16),0)),IF(F47="y",0,IF($E47&gt;0,(O47*B$4*(1-B$7))*$E47*(1-V$16),0)))</f>
        <v>3.2711111111111109</v>
      </c>
      <c r="W47" s="21">
        <f>IF(W$15="Increase",IF(F47="y",0,IF($E47&gt;0,(O47*B$6*(B$7))*$E47*(1+W$16),0)),IF(F47="y",0,IF($E47&gt;0,(O47*B$6*(B$7))*$E47*(1-W$16),0)))</f>
        <v>0</v>
      </c>
      <c r="X47" s="21">
        <f t="shared" ref="X47:X50" si="43">IF(X$15="Increase",IF(F47="y",0,IF($E47&gt;0,R47*$E47*(1+X$16),0)),IF(F47="y",0,IF($E47&gt;0,R47*$E47*(1-X$16),0)))</f>
        <v>7.9658137395833331</v>
      </c>
      <c r="Y47" s="21">
        <f t="shared" ref="Y47:Y50" si="44">IF(Y$15="Increase",IF(F47="y",0,IF($E47&gt;0,S47*$E47*(1+Y$16),0)),IF(F47="y",0,IF($E47&gt;0,S47*$E47*(1-Y$16),0)))</f>
        <v>16.173015774305554</v>
      </c>
      <c r="Z47" s="21">
        <f t="shared" ref="Z47:Z50" si="45">IF(Z$15="Increase",IF(F47="y",I47*E47*(1+Z$16),0),IF(F47="y",I47*E47*(1-Z$16),0))</f>
        <v>0</v>
      </c>
      <c r="AA47" s="23"/>
      <c r="AB47" s="23"/>
    </row>
    <row r="48" spans="1:28" x14ac:dyDescent="0.2">
      <c r="A48" s="9" t="s">
        <v>31</v>
      </c>
      <c r="B48" s="9"/>
      <c r="C48" s="9"/>
      <c r="D48" s="108"/>
      <c r="E48" s="29"/>
      <c r="F48" s="30"/>
      <c r="G48" s="33"/>
      <c r="H48" s="6"/>
      <c r="I48" s="6">
        <f>IF(G48&gt;0,G48,H48-(L48*B$2*1.05)+M48-O48*12.5+P48)</f>
        <v>0.28578541666666668</v>
      </c>
      <c r="J48" s="6"/>
      <c r="K48" s="6"/>
      <c r="L48" s="11">
        <v>1.8815</v>
      </c>
      <c r="M48" s="21">
        <f t="shared" si="38"/>
        <v>3.7865187499999999</v>
      </c>
      <c r="N48" s="12">
        <v>0.15666666666666668</v>
      </c>
      <c r="O48" s="12">
        <f t="shared" si="39"/>
        <v>0.18016666666666667</v>
      </c>
      <c r="P48" s="21">
        <f>O48*B$4*(1-B$7)+O48*B$6*(B$7)</f>
        <v>2.7025000000000001</v>
      </c>
      <c r="Q48" s="21">
        <f t="shared" si="40"/>
        <v>-6.2032333333333334</v>
      </c>
      <c r="R48" s="21">
        <f>Q48*B$12</f>
        <v>-2.0470670000000002</v>
      </c>
      <c r="S48" s="21">
        <f t="shared" si="41"/>
        <v>-4.1561663333333332</v>
      </c>
      <c r="T48" s="9"/>
      <c r="U48" s="21">
        <f t="shared" si="42"/>
        <v>0</v>
      </c>
      <c r="V48" s="21">
        <f>IF(V$15="Increase",IF(F48="y",0,IF($E48&gt;0,(O48*B$4*(1-B$7))*$E48*(1+V$16),0)),IF(F48="y",0,IF($E48&gt;0,(O48*B$4*(1-B$7))*$E48*(1-V$16),0)))</f>
        <v>0</v>
      </c>
      <c r="W48" s="21">
        <f>IF(W$15="Increase",IF(F48="y",0,IF($E48&gt;0,(O48*B$6*(B$7))*$E48*(1+W$16),0)),IF(F48="y",0,IF($E48&gt;0,(O48*B$6*(B$7))*$E48*(1-W$16),0)))</f>
        <v>0</v>
      </c>
      <c r="X48" s="21">
        <f t="shared" si="43"/>
        <v>0</v>
      </c>
      <c r="Y48" s="21">
        <f t="shared" si="44"/>
        <v>0</v>
      </c>
      <c r="Z48" s="21">
        <f t="shared" si="45"/>
        <v>0</v>
      </c>
      <c r="AA48" s="23"/>
      <c r="AB48" s="23"/>
    </row>
    <row r="49" spans="1:28" x14ac:dyDescent="0.2">
      <c r="A49" s="9" t="s">
        <v>32</v>
      </c>
      <c r="B49" s="9"/>
      <c r="C49" s="9"/>
      <c r="D49" s="108"/>
      <c r="E49" s="29"/>
      <c r="F49" s="30"/>
      <c r="G49" s="33"/>
      <c r="H49" s="6"/>
      <c r="I49" s="6">
        <f>IF(G49&gt;0,G49,H49-(L49*B$2*1.05)+M49-O49*12.5+P49)</f>
        <v>0.22673877314814828</v>
      </c>
      <c r="J49" s="6"/>
      <c r="K49" s="6"/>
      <c r="L49" s="11">
        <v>1.4732500000000002</v>
      </c>
      <c r="M49" s="21">
        <f t="shared" si="38"/>
        <v>2.9649156250000002</v>
      </c>
      <c r="N49" s="12">
        <v>0.1237037037037037</v>
      </c>
      <c r="O49" s="12">
        <f t="shared" si="39"/>
        <v>0.14225925925925925</v>
      </c>
      <c r="P49" s="21">
        <f>O49*B$4*(1-B$7)+O49*B$6*(B$7)</f>
        <v>2.1338888888888889</v>
      </c>
      <c r="Q49" s="21">
        <f t="shared" si="40"/>
        <v>-4.8720657407407408</v>
      </c>
      <c r="R49" s="21">
        <f>Q49*B$12</f>
        <v>-1.6077816944444445</v>
      </c>
      <c r="S49" s="21">
        <f t="shared" si="41"/>
        <v>-3.2642840462962965</v>
      </c>
      <c r="T49" s="9"/>
      <c r="U49" s="21">
        <f t="shared" si="42"/>
        <v>0</v>
      </c>
      <c r="V49" s="21">
        <f>IF(V$15="Increase",IF(F49="y",0,IF($E49&gt;0,(O49*B$4*(1-B$7))*$E49*(1+V$16),0)),IF(F49="y",0,IF($E49&gt;0,(O49*B$4*(1-B$7))*$E49*(1-V$16),0)))</f>
        <v>0</v>
      </c>
      <c r="W49" s="21">
        <f>IF(W$15="Increase",IF(F49="y",0,IF($E49&gt;0,(O49*B$6*(B$7))*$E49*(1+W$16),0)),IF(F49="y",0,IF($E49&gt;0,(O49*B$6*(B$7))*$E49*(1-W$16),0)))</f>
        <v>0</v>
      </c>
      <c r="X49" s="21">
        <f t="shared" si="43"/>
        <v>0</v>
      </c>
      <c r="Y49" s="21">
        <f t="shared" si="44"/>
        <v>0</v>
      </c>
      <c r="Z49" s="21">
        <f t="shared" si="45"/>
        <v>0</v>
      </c>
      <c r="AA49" s="23"/>
      <c r="AB49" s="23"/>
    </row>
    <row r="50" spans="1:28" x14ac:dyDescent="0.2">
      <c r="A50" s="9" t="s">
        <v>47</v>
      </c>
      <c r="B50" s="115">
        <v>1</v>
      </c>
      <c r="C50" s="115">
        <v>1</v>
      </c>
      <c r="D50" s="132">
        <f>'Machinery(Heirloom)'!D27</f>
        <v>1</v>
      </c>
      <c r="E50" s="78">
        <f>IF('Machinery(Heirloom)'!$C$17='Machinery(Heirloom)'!$B$72,D50,IF('Machinery(Heirloom)'!$C$16='Machinery(Heirloom)'!$B$69,B50,C50))</f>
        <v>1</v>
      </c>
      <c r="F50" s="30" t="str">
        <f>IF('Machinery(Heirloom)'!C17='Machinery(Heirloom)'!B73,'Machinery(Heirloom)'!B50,'Machinery(Heirloom)'!E27)</f>
        <v>N</v>
      </c>
      <c r="G50" s="33"/>
      <c r="H50" s="6">
        <v>5.5</v>
      </c>
      <c r="I50" s="327">
        <f>H50+J50+K50</f>
        <v>5.46</v>
      </c>
      <c r="J50" s="6">
        <f>L50*(B$3-B$2)</f>
        <v>-0.04</v>
      </c>
      <c r="K50" s="6">
        <f>(B$4*(1-B$7)+B$6*(B$7) - B$14)*O50</f>
        <v>0</v>
      </c>
      <c r="L50" s="11">
        <v>0.16</v>
      </c>
      <c r="M50" s="21">
        <f t="shared" si="38"/>
        <v>0.32200000000000001</v>
      </c>
      <c r="N50" s="12">
        <v>0.1</v>
      </c>
      <c r="O50" s="12">
        <f t="shared" si="39"/>
        <v>0.11499999999999999</v>
      </c>
      <c r="P50" s="21">
        <f>O50*B$4*(1-B$7)+O50*B$6*(B$7)</f>
        <v>1.7249999999999999</v>
      </c>
      <c r="Q50" s="21">
        <f t="shared" si="40"/>
        <v>3.4130000000000003</v>
      </c>
      <c r="R50" s="21">
        <f>Q50*B$12</f>
        <v>1.1262900000000002</v>
      </c>
      <c r="S50" s="21">
        <f t="shared" si="41"/>
        <v>2.2867100000000002</v>
      </c>
      <c r="T50" s="9"/>
      <c r="U50" s="21">
        <f t="shared" si="42"/>
        <v>0.32200000000000001</v>
      </c>
      <c r="V50" s="21">
        <f>IF(V$15="Increase",IF(F50="y",0,IF($E50&gt;0,(O50*B$4*(1-B$7))*$E50*(1+V$16),0)),IF(F50="y",0,IF($E50&gt;0,(O50*B$4*(1-B$7))*$E50*(1-V$16),0)))</f>
        <v>1.7249999999999999</v>
      </c>
      <c r="W50" s="21">
        <f>IF(W$15="Increase",IF(F50="y",0,IF($E50&gt;0,(O50*B$6*(B$7))*$E50*(1+W$16),0)),IF(F50="y",0,IF($E50&gt;0,(O50*B$6*(B$7))*$E50*(1-W$16),0)))</f>
        <v>0</v>
      </c>
      <c r="X50" s="21">
        <f t="shared" si="43"/>
        <v>1.1262900000000002</v>
      </c>
      <c r="Y50" s="21">
        <f t="shared" si="44"/>
        <v>2.2867100000000002</v>
      </c>
      <c r="Z50" s="21">
        <f t="shared" si="45"/>
        <v>0</v>
      </c>
      <c r="AA50" s="181"/>
      <c r="AB50" s="23"/>
    </row>
    <row r="51" spans="1:28" x14ac:dyDescent="0.2">
      <c r="A51" s="694" t="s">
        <v>102</v>
      </c>
      <c r="B51" s="695"/>
      <c r="C51" s="695"/>
      <c r="D51" s="695"/>
      <c r="E51" s="696"/>
      <c r="F51" s="328"/>
      <c r="G51" s="329"/>
      <c r="H51" s="330"/>
      <c r="I51" s="330">
        <f>IF(G51&gt;0,G51,Trucking!H26*Heirloom!E6)</f>
        <v>22.103462458454093</v>
      </c>
      <c r="J51" s="330"/>
      <c r="K51" s="330"/>
      <c r="L51" s="331">
        <f>((Heirloom!E6*Trucking!B26*2)*(1+Trucking!C4))/(Trucking!C3*Trucking!C2)</f>
        <v>2.3486842105263159</v>
      </c>
      <c r="M51" s="332">
        <f>L51*Trucking!C9</f>
        <v>4.8617763157894736</v>
      </c>
      <c r="N51" s="333"/>
      <c r="O51" s="333">
        <f>Heirloom!E6*((((B8*2)/Trucking!C7) + (Trucking!C5/60)))/Trucking!C2</f>
        <v>0.38771929824561407</v>
      </c>
      <c r="P51" s="332">
        <f>O51*B$4*(1-B$7)+O51*B$6*(B$7)</f>
        <v>5.8157894736842115</v>
      </c>
      <c r="Q51" s="332">
        <f>I51-M51-P51</f>
        <v>11.425896668980407</v>
      </c>
      <c r="R51" s="332">
        <f>Q51*B$12</f>
        <v>3.7705459007635342</v>
      </c>
      <c r="S51" s="332">
        <f>Q51-R51</f>
        <v>7.6553507682168727</v>
      </c>
      <c r="T51" s="334"/>
      <c r="U51" s="332">
        <f>IF(Heirloom!C87=Heirloom!C85,0,IF(U$15="Increase",IF(F51="y",0,IF($B8&gt;0,M51*(1+U$16),0)),IF(F51="y",0,IF($B8&gt;0,M51*(1-U$16),0))))</f>
        <v>4.8617763157894736</v>
      </c>
      <c r="V51" s="332">
        <f>IF(Heirloom!C87=Heirloom!C85,0,IF(V$15="Increase",IF(F51="y",0,IF($B8&gt;0,(O51*B$4*(1-B$7)*(1+V$16)),0)),IF(F51="y",0,IF($B8&gt;0,(O51*B$4*(1-B$7)*(1-V$16)),0))))</f>
        <v>5.8157894736842115</v>
      </c>
      <c r="W51" s="332">
        <f>IF(Heirloom!C87=Heirloom!C85,0,IF(W$15="Increase",IF(F51="y",0,IF($B8&gt;0,(O51*B$6*(B$7)*(1+W$16)),0)),IF(F51="y",0,IF($B8&gt;0,(O51*B$6*(B$7)*(1-W$16)),0))))</f>
        <v>0</v>
      </c>
      <c r="X51" s="332">
        <f>IF(Heirloom!C87=Heirloom!C85,0,IF(X$15="Increase",IF(F51="y",0,IF($B8&gt;0,R51*(1+X$16),0)),IF(F51="y",0,IF($B8&gt;0,R51*(1-X$16),0))))</f>
        <v>3.7705459007635342</v>
      </c>
      <c r="Y51" s="332">
        <f>IF(Heirloom!C87=Heirloom!C85,0,IF(Y$15="Increase",IF(F51="y",0,IF($B8&gt;0,S51*(1+Y$16),0)),IF(F51="y",0,IF($B8&gt;0,S51*(1-Y$16),0))))</f>
        <v>7.6553507682168727</v>
      </c>
      <c r="Z51" s="332">
        <f>IF(Heirloom!C87=Heirloom!C85,0,IF(Z$15="Increase",IF(F51="y",I51*(1+Z$16),0),IF(F51="y",I51*(1-Z$16),0)))</f>
        <v>0</v>
      </c>
      <c r="AA51" s="335">
        <f>SUM(U51:Z51)</f>
        <v>22.103462458454093</v>
      </c>
      <c r="AB51" s="39" t="s">
        <v>286</v>
      </c>
    </row>
    <row r="52" spans="1:28" x14ac:dyDescent="0.2">
      <c r="A52" s="9"/>
      <c r="B52" s="9"/>
      <c r="C52" s="9"/>
      <c r="D52" s="9"/>
      <c r="E52" s="29"/>
      <c r="F52" s="30"/>
      <c r="G52" s="33"/>
      <c r="H52" s="6"/>
      <c r="I52" s="6"/>
      <c r="J52" s="6"/>
      <c r="K52" s="6"/>
      <c r="L52" s="9"/>
      <c r="M52" s="9"/>
      <c r="N52" s="9"/>
      <c r="O52" s="9"/>
      <c r="P52" s="9"/>
      <c r="Q52" s="9"/>
      <c r="R52" s="9"/>
      <c r="S52" s="9"/>
      <c r="T52" s="9"/>
      <c r="U52" s="9"/>
      <c r="V52" s="9"/>
      <c r="W52" s="9"/>
      <c r="X52" s="9"/>
      <c r="Y52" s="9"/>
      <c r="Z52" s="9"/>
      <c r="AA52" s="181">
        <f>AA51/Heirloom!E6</f>
        <v>0.26004073480534229</v>
      </c>
      <c r="AB52" s="39" t="s">
        <v>293</v>
      </c>
    </row>
    <row r="53" spans="1:28" x14ac:dyDescent="0.2">
      <c r="A53" s="10" t="s">
        <v>33</v>
      </c>
      <c r="B53" s="10"/>
      <c r="C53" s="10"/>
      <c r="D53" s="10"/>
      <c r="E53" s="29"/>
      <c r="F53" s="30"/>
      <c r="G53" s="33"/>
      <c r="H53" s="6"/>
      <c r="I53" s="6"/>
      <c r="J53" s="6"/>
      <c r="K53" s="6"/>
      <c r="L53" s="9"/>
      <c r="M53" s="9"/>
      <c r="N53" s="9"/>
      <c r="O53" s="9"/>
      <c r="P53" s="9"/>
      <c r="Q53" s="9"/>
      <c r="R53" s="9"/>
      <c r="S53" s="9"/>
      <c r="T53" s="9"/>
      <c r="U53" s="9"/>
      <c r="V53" s="9"/>
      <c r="W53" s="9"/>
      <c r="X53" s="9"/>
      <c r="Y53" s="9"/>
      <c r="Z53" s="9"/>
      <c r="AA53" s="23"/>
      <c r="AB53" s="23"/>
    </row>
    <row r="54" spans="1:28" x14ac:dyDescent="0.2">
      <c r="A54" s="9"/>
      <c r="B54" s="9"/>
      <c r="C54" s="9"/>
      <c r="D54" s="108"/>
      <c r="E54" s="29"/>
      <c r="F54" s="30"/>
      <c r="G54" s="33"/>
      <c r="H54" s="6"/>
      <c r="I54" s="6"/>
      <c r="J54" s="6"/>
      <c r="K54" s="6"/>
      <c r="L54" s="9"/>
      <c r="M54" s="9"/>
      <c r="N54" s="9"/>
      <c r="O54" s="9"/>
      <c r="P54" s="9"/>
      <c r="Q54" s="9"/>
      <c r="R54" s="9"/>
      <c r="S54" s="9"/>
      <c r="T54" s="9"/>
      <c r="U54" s="9"/>
      <c r="V54" s="9"/>
      <c r="W54" s="9"/>
      <c r="X54" s="9"/>
      <c r="Y54" s="9"/>
      <c r="Z54" s="9"/>
      <c r="AA54" s="23"/>
      <c r="AB54" s="23"/>
    </row>
    <row r="55" spans="1:28" x14ac:dyDescent="0.2">
      <c r="A55" s="10" t="s">
        <v>35</v>
      </c>
      <c r="B55" s="10"/>
      <c r="C55" s="10"/>
      <c r="D55" s="317"/>
      <c r="E55" s="29"/>
      <c r="F55" s="30"/>
      <c r="G55" s="33"/>
      <c r="H55" s="6"/>
      <c r="I55" s="6"/>
      <c r="J55" s="6"/>
      <c r="K55" s="6"/>
      <c r="L55" s="9"/>
      <c r="M55" s="9"/>
      <c r="N55" s="9"/>
      <c r="O55" s="9"/>
      <c r="P55" s="9"/>
      <c r="Q55" s="9"/>
      <c r="R55" s="9"/>
      <c r="S55" s="9"/>
      <c r="T55" s="9"/>
      <c r="U55" s="9"/>
      <c r="V55" s="9"/>
      <c r="W55" s="9"/>
      <c r="X55" s="9"/>
      <c r="Y55" s="9"/>
      <c r="Z55" s="9"/>
      <c r="AA55" s="23"/>
      <c r="AB55" s="23"/>
    </row>
    <row r="56" spans="1:28" x14ac:dyDescent="0.2">
      <c r="A56" s="9" t="s">
        <v>36</v>
      </c>
      <c r="B56" s="115">
        <v>2</v>
      </c>
      <c r="C56" s="115">
        <v>2</v>
      </c>
      <c r="D56" s="132">
        <f>'Machinery(Heirloom)'!D24</f>
        <v>2</v>
      </c>
      <c r="E56" s="78">
        <f>IF('Machinery(Heirloom)'!$C$17='Machinery(Heirloom)'!$B$72,D56,IF('Machinery(Heirloom)'!$C$16='Machinery(Heirloom)'!$B$69,B56,C56))</f>
        <v>2</v>
      </c>
      <c r="F56" s="30" t="str">
        <f>IF('Machinery(Heirloom)'!C17='Machinery(Heirloom)'!B73,'Machinery(Heirloom)'!B50,'Machinery(Heirloom)'!E24)</f>
        <v>N</v>
      </c>
      <c r="G56" s="33"/>
      <c r="H56" s="6">
        <v>6.5</v>
      </c>
      <c r="I56" s="327">
        <f>H56+J56+K56</f>
        <v>6.4187904020919069</v>
      </c>
      <c r="J56" s="6">
        <f>L56*(B$3-B$2)</f>
        <v>-8.1209597908093276E-2</v>
      </c>
      <c r="K56" s="6">
        <f>(B$4*(1-B$7)+B$6*(B$7) - B$14)*O56</f>
        <v>0</v>
      </c>
      <c r="L56" s="11">
        <v>0.3248383916323731</v>
      </c>
      <c r="M56" s="21">
        <f t="shared" ref="M56:M60" si="46">L56*B$3*(1+B$13)</f>
        <v>0.65373726316015091</v>
      </c>
      <c r="N56" s="12">
        <v>3.9135775526950654E-2</v>
      </c>
      <c r="O56" s="12">
        <f t="shared" ref="O56:O60" si="47">N56*(1+B$16)</f>
        <v>4.5006141855993248E-2</v>
      </c>
      <c r="P56" s="21">
        <f t="shared" ref="P56:P60" si="48">O56*B$4*(1-B$7)+O56*B$6*(B$7)</f>
        <v>0.67509212783989869</v>
      </c>
      <c r="Q56" s="21">
        <f t="shared" ref="Q56:Q60" si="49">I56-M56-P56</f>
        <v>5.0899610110918569</v>
      </c>
      <c r="R56" s="21">
        <f t="shared" ref="R56:R60" si="50">Q56*B$12</f>
        <v>1.679687133660313</v>
      </c>
      <c r="S56" s="21">
        <f>Q56-R56</f>
        <v>3.410273877431544</v>
      </c>
      <c r="T56" s="9"/>
      <c r="U56" s="21">
        <f t="shared" ref="U56:U60" si="51">IF(U$15="Increase",IF(F56="y",0,IF($E56&gt;0,M56*$E56*(1+U$16),0)),IF(F56="y",0,IF($E56&gt;0,M56*$E56*(1-U$16),0)))</f>
        <v>1.3074745263203018</v>
      </c>
      <c r="V56" s="21">
        <f t="shared" ref="V56:V60" si="52">IF(V$15="Increase",IF(F56="y",0,IF($E56&gt;0,(O56*B$4*(1-B$7))*$E56*(1+V$16),0)),IF(F56="y",0,IF($E56&gt;0,(O56*B$4*(1-B$7))*$E56*(1-V$16),0)))</f>
        <v>1.3501842556797974</v>
      </c>
      <c r="W56" s="21">
        <f t="shared" ref="W56:W60" si="53">IF(W$15="Increase",IF(F56="y",0,IF($E56&gt;0,(O56*B$6*(B$7))*$E56*(1+W$16),0)),IF(F56="y",0,IF($E56&gt;0,(O56*B$6*(B$7))*$E56*(1-W$16),0)))</f>
        <v>0</v>
      </c>
      <c r="X56" s="21">
        <f t="shared" ref="X56:X60" si="54">IF(X$15="Increase",IF(F56="y",0,IF($E56&gt;0,R56*$E56*(1+X$16),0)),IF(F56="y",0,IF($E56&gt;0,R56*$E56*(1-X$16),0)))</f>
        <v>3.3593742673206259</v>
      </c>
      <c r="Y56" s="21">
        <f t="shared" ref="Y56:Y60" si="55">IF(Y$15="Increase",IF(F56="y",0,IF($E56&gt;0,S56*$E56*(1+Y$16),0)),IF(F56="y",0,IF($E56&gt;0,S56*$E56*(1-Y$16),0)))</f>
        <v>6.820547754863088</v>
      </c>
      <c r="Z56" s="21">
        <f t="shared" ref="Z56:Z60" si="56">IF(Z$15="Increase",IF(F56="y",I56*E56*(1+Z$16),0),IF(F56="y",I56*E56*(1-Z$16),0))</f>
        <v>0</v>
      </c>
      <c r="AA56" s="23"/>
      <c r="AB56" s="23"/>
    </row>
    <row r="57" spans="1:28" x14ac:dyDescent="0.2">
      <c r="A57" s="9" t="s">
        <v>37</v>
      </c>
      <c r="B57" s="9"/>
      <c r="C57" s="9"/>
      <c r="D57" s="108"/>
      <c r="E57" s="29"/>
      <c r="F57" s="30"/>
      <c r="G57" s="33"/>
      <c r="H57" s="6"/>
      <c r="I57" s="6">
        <f>IF(G57&gt;0,G57,H57-(L57*B$2*1.05)+M57-O57*12.5+P57)</f>
        <v>0.10734276632157558</v>
      </c>
      <c r="J57" s="6"/>
      <c r="K57" s="6"/>
      <c r="L57" s="11">
        <v>0.41465363511659803</v>
      </c>
      <c r="M57" s="21">
        <f t="shared" si="46"/>
        <v>0.8344904406721535</v>
      </c>
      <c r="N57" s="12">
        <v>4.9956507615401075E-2</v>
      </c>
      <c r="O57" s="12">
        <f t="shared" si="47"/>
        <v>5.744998375771123E-2</v>
      </c>
      <c r="P57" s="21">
        <f t="shared" si="48"/>
        <v>0.86174975636566842</v>
      </c>
      <c r="Q57" s="21">
        <f t="shared" si="49"/>
        <v>-1.5888974307162465</v>
      </c>
      <c r="R57" s="21">
        <f t="shared" si="50"/>
        <v>-0.52433615213636131</v>
      </c>
      <c r="S57" s="21">
        <f t="shared" ref="S57:S60" si="57">Q57-R57</f>
        <v>-1.0645612785798853</v>
      </c>
      <c r="T57" s="9"/>
      <c r="U57" s="21">
        <f t="shared" si="51"/>
        <v>0</v>
      </c>
      <c r="V57" s="21">
        <f t="shared" si="52"/>
        <v>0</v>
      </c>
      <c r="W57" s="21">
        <f t="shared" si="53"/>
        <v>0</v>
      </c>
      <c r="X57" s="21">
        <f t="shared" si="54"/>
        <v>0</v>
      </c>
      <c r="Y57" s="21">
        <f t="shared" si="55"/>
        <v>0</v>
      </c>
      <c r="Z57" s="21">
        <f t="shared" si="56"/>
        <v>0</v>
      </c>
      <c r="AA57" s="23"/>
      <c r="AB57" s="23"/>
    </row>
    <row r="58" spans="1:28" x14ac:dyDescent="0.2">
      <c r="A58" s="9" t="s">
        <v>38</v>
      </c>
      <c r="B58" s="9"/>
      <c r="C58" s="9"/>
      <c r="D58" s="108"/>
      <c r="E58" s="29"/>
      <c r="F58" s="30"/>
      <c r="G58" s="33"/>
      <c r="H58" s="6"/>
      <c r="I58" s="6">
        <f>IF(G58&gt;0,G58,H58-(L58*B$2*1.05)+M58-O58*12.5+P58)</f>
        <v>0.10267212687094218</v>
      </c>
      <c r="J58" s="6"/>
      <c r="K58" s="6"/>
      <c r="L58" s="11">
        <v>0.39661145404663922</v>
      </c>
      <c r="M58" s="21">
        <f t="shared" si="46"/>
        <v>0.79818055126886134</v>
      </c>
      <c r="N58" s="12">
        <v>4.778282751305156E-2</v>
      </c>
      <c r="O58" s="12">
        <f t="shared" si="47"/>
        <v>5.4950251640009287E-2</v>
      </c>
      <c r="P58" s="21">
        <f t="shared" si="48"/>
        <v>0.82425377460013927</v>
      </c>
      <c r="Q58" s="21">
        <f t="shared" si="49"/>
        <v>-1.5197621989980585</v>
      </c>
      <c r="R58" s="21">
        <f t="shared" si="50"/>
        <v>-0.50152152566935937</v>
      </c>
      <c r="S58" s="21">
        <f t="shared" si="57"/>
        <v>-1.0182406733286991</v>
      </c>
      <c r="T58" s="9"/>
      <c r="U58" s="21">
        <f t="shared" si="51"/>
        <v>0</v>
      </c>
      <c r="V58" s="21">
        <f t="shared" si="52"/>
        <v>0</v>
      </c>
      <c r="W58" s="21">
        <f t="shared" si="53"/>
        <v>0</v>
      </c>
      <c r="X58" s="21">
        <f t="shared" si="54"/>
        <v>0</v>
      </c>
      <c r="Y58" s="21">
        <f t="shared" si="55"/>
        <v>0</v>
      </c>
      <c r="Z58" s="21">
        <f t="shared" si="56"/>
        <v>0</v>
      </c>
      <c r="AA58" s="23"/>
      <c r="AB58" s="23"/>
    </row>
    <row r="59" spans="1:28" x14ac:dyDescent="0.2">
      <c r="A59" s="9" t="s">
        <v>39</v>
      </c>
      <c r="B59" s="115">
        <v>0</v>
      </c>
      <c r="C59" s="115">
        <v>0</v>
      </c>
      <c r="D59" s="132">
        <f>'Machinery(Heirloom)'!D25</f>
        <v>0</v>
      </c>
      <c r="E59" s="78">
        <f>IF('Machinery(Heirloom)'!$C$17='Machinery(Heirloom)'!$B$72,D59,IF('Machinery(Heirloom)'!$C$16='Machinery(Heirloom)'!$B$69,B59,C59))</f>
        <v>0</v>
      </c>
      <c r="F59" s="30" t="str">
        <f>IF('Machinery(Heirloom)'!C17='Machinery(Heirloom)'!B73,'Machinery(Heirloom)'!B50,'Machinery(Heirloom)'!E25)</f>
        <v>N</v>
      </c>
      <c r="G59" s="33"/>
      <c r="H59" s="6">
        <v>13.5</v>
      </c>
      <c r="I59" s="327">
        <f>H59+J59+K59</f>
        <v>13.3269375</v>
      </c>
      <c r="J59" s="6">
        <f>L59*(B$3-B$2)</f>
        <v>-0.17306250000000001</v>
      </c>
      <c r="K59" s="6">
        <f>(B$4*(1-B$7)+B$6*(B$7) - B$14)*O59</f>
        <v>0</v>
      </c>
      <c r="L59" s="11">
        <v>0.69225000000000003</v>
      </c>
      <c r="M59" s="21">
        <f t="shared" si="46"/>
        <v>1.393153125</v>
      </c>
      <c r="N59" s="12">
        <v>8.3400673400673392E-2</v>
      </c>
      <c r="O59" s="12">
        <f t="shared" si="47"/>
        <v>9.5910774410774391E-2</v>
      </c>
      <c r="P59" s="21">
        <f t="shared" si="48"/>
        <v>1.4386616161616159</v>
      </c>
      <c r="Q59" s="21">
        <f t="shared" si="49"/>
        <v>10.495122758838384</v>
      </c>
      <c r="R59" s="21">
        <f t="shared" si="50"/>
        <v>3.4633905104166671</v>
      </c>
      <c r="S59" s="21">
        <f t="shared" si="57"/>
        <v>7.0317322484217168</v>
      </c>
      <c r="T59" s="9"/>
      <c r="U59" s="21">
        <f t="shared" si="51"/>
        <v>0</v>
      </c>
      <c r="V59" s="21">
        <f t="shared" si="52"/>
        <v>0</v>
      </c>
      <c r="W59" s="21">
        <f t="shared" si="53"/>
        <v>0</v>
      </c>
      <c r="X59" s="21">
        <f t="shared" si="54"/>
        <v>0</v>
      </c>
      <c r="Y59" s="21">
        <f t="shared" si="55"/>
        <v>0</v>
      </c>
      <c r="Z59" s="21">
        <f t="shared" si="56"/>
        <v>0</v>
      </c>
      <c r="AA59" s="23"/>
      <c r="AB59" s="23"/>
    </row>
    <row r="60" spans="1:28" x14ac:dyDescent="0.2">
      <c r="A60" s="9" t="s">
        <v>40</v>
      </c>
      <c r="B60" s="9"/>
      <c r="C60" s="9"/>
      <c r="D60" s="108"/>
      <c r="E60" s="29"/>
      <c r="F60" s="30"/>
      <c r="G60" s="33"/>
      <c r="H60" s="6"/>
      <c r="I60" s="6">
        <f>IF(G60&gt;0,G60,H60-(L60*B$2*1.05)+M60-O60*12.5+P60)</f>
        <v>0.28781791351491126</v>
      </c>
      <c r="J60" s="6"/>
      <c r="K60" s="6"/>
      <c r="L60" s="11">
        <v>1.1118098422496572</v>
      </c>
      <c r="M60" s="21">
        <f t="shared" si="46"/>
        <v>2.2375173075274346</v>
      </c>
      <c r="N60" s="12">
        <v>0.13394826946495897</v>
      </c>
      <c r="O60" s="12">
        <f t="shared" si="47"/>
        <v>0.1540405098847028</v>
      </c>
      <c r="P60" s="21">
        <f t="shared" si="48"/>
        <v>2.3106076482705422</v>
      </c>
      <c r="Q60" s="21">
        <f t="shared" si="49"/>
        <v>-4.2603070422830651</v>
      </c>
      <c r="R60" s="21">
        <f t="shared" si="50"/>
        <v>-1.4059013239534115</v>
      </c>
      <c r="S60" s="21">
        <f t="shared" si="57"/>
        <v>-2.8544057183296534</v>
      </c>
      <c r="T60" s="9"/>
      <c r="U60" s="21">
        <f t="shared" si="51"/>
        <v>0</v>
      </c>
      <c r="V60" s="21">
        <f t="shared" si="52"/>
        <v>0</v>
      </c>
      <c r="W60" s="21">
        <f t="shared" si="53"/>
        <v>0</v>
      </c>
      <c r="X60" s="21">
        <f t="shared" si="54"/>
        <v>0</v>
      </c>
      <c r="Y60" s="21">
        <f t="shared" si="55"/>
        <v>0</v>
      </c>
      <c r="Z60" s="21">
        <f t="shared" si="56"/>
        <v>0</v>
      </c>
      <c r="AA60" s="23"/>
      <c r="AB60" s="23"/>
    </row>
    <row r="61" spans="1:28" x14ac:dyDescent="0.2">
      <c r="A61" s="9"/>
      <c r="B61" s="9"/>
      <c r="C61" s="9"/>
      <c r="D61" s="108"/>
      <c r="E61" s="29"/>
      <c r="F61" s="30"/>
      <c r="G61" s="33"/>
      <c r="H61" s="6"/>
      <c r="I61" s="6"/>
      <c r="J61" s="6"/>
      <c r="K61" s="6"/>
      <c r="L61" s="9"/>
      <c r="M61" s="9"/>
      <c r="N61" s="9"/>
      <c r="O61" s="9"/>
      <c r="P61" s="9"/>
      <c r="Q61" s="9"/>
      <c r="R61" s="9"/>
      <c r="S61" s="9"/>
      <c r="T61" s="9"/>
      <c r="U61" s="9"/>
      <c r="V61" s="9"/>
      <c r="W61" s="9"/>
      <c r="X61" s="9"/>
      <c r="Y61" s="9"/>
      <c r="Z61" s="9"/>
      <c r="AA61" s="23"/>
      <c r="AB61" s="23"/>
    </row>
    <row r="62" spans="1:28" x14ac:dyDescent="0.2">
      <c r="A62" s="10" t="s">
        <v>41</v>
      </c>
      <c r="B62" s="10"/>
      <c r="C62" s="10"/>
      <c r="D62" s="320"/>
      <c r="E62" s="29"/>
      <c r="F62" s="30"/>
      <c r="G62" s="33"/>
      <c r="H62" s="6"/>
      <c r="I62" s="6"/>
      <c r="J62" s="6"/>
      <c r="K62" s="6"/>
      <c r="L62" s="9"/>
      <c r="M62" s="9"/>
      <c r="N62" s="9"/>
      <c r="O62" s="9"/>
      <c r="P62" s="9"/>
      <c r="Q62" s="9"/>
      <c r="R62" s="9"/>
      <c r="S62" s="9"/>
      <c r="T62" s="9"/>
      <c r="U62" s="9"/>
      <c r="V62" s="9"/>
      <c r="W62" s="9"/>
      <c r="X62" s="9"/>
      <c r="Y62" s="9"/>
      <c r="Z62" s="9"/>
      <c r="AA62" s="23"/>
      <c r="AB62" s="23"/>
    </row>
    <row r="63" spans="1:28" x14ac:dyDescent="0.2">
      <c r="A63" s="9" t="s">
        <v>42</v>
      </c>
      <c r="B63" s="115">
        <v>2.5</v>
      </c>
      <c r="C63" s="115">
        <v>2.5</v>
      </c>
      <c r="D63" s="132">
        <f>'Machinery(Heirloom)'!D23</f>
        <v>2.5</v>
      </c>
      <c r="E63" s="78">
        <f>IF('Machinery(Heirloom)'!$C$17='Machinery(Heirloom)'!$B$72,D63,IF('Machinery(Heirloom)'!$C$16='Machinery(Heirloom)'!$B$69,B63,C63))</f>
        <v>2.5</v>
      </c>
      <c r="F63" s="30" t="str">
        <f>IF('Machinery(Heirloom)'!C17='Machinery(Heirloom)'!B73,'Machinery(Heirloom)'!B50,'Machinery(Heirloom)'!E23)</f>
        <v>N</v>
      </c>
      <c r="G63" s="33"/>
      <c r="H63" s="6">
        <v>7.5</v>
      </c>
      <c r="I63" s="327">
        <f>H63+J63+K63</f>
        <v>7.4704375000000001</v>
      </c>
      <c r="J63" s="6">
        <f>L63*(B$3-B$2)</f>
        <v>-2.9562500000000002E-2</v>
      </c>
      <c r="K63" s="6">
        <f>(B$4*(1-B$7)+B$6*(B$7) - B$14)*O63</f>
        <v>0</v>
      </c>
      <c r="L63" s="11">
        <v>0.11825000000000001</v>
      </c>
      <c r="M63" s="21">
        <f t="shared" ref="M63:M64" si="58">L63*B$3*(1+B$13)</f>
        <v>0.23797812500000001</v>
      </c>
      <c r="N63" s="12">
        <v>0.03</v>
      </c>
      <c r="O63" s="12">
        <f t="shared" ref="O63:O64" si="59">N63*(1+B$16)</f>
        <v>3.4499999999999996E-2</v>
      </c>
      <c r="P63" s="21">
        <f>O63*B$4*(1-B$7)+O63*B$6*(B$7)</f>
        <v>0.51749999999999996</v>
      </c>
      <c r="Q63" s="21">
        <f>I63-M63-P63</f>
        <v>6.7149593750000003</v>
      </c>
      <c r="R63" s="21">
        <f>Q63*B$12</f>
        <v>2.2159365937500004</v>
      </c>
      <c r="S63" s="21">
        <f>Q63-R63</f>
        <v>4.4990227812499999</v>
      </c>
      <c r="T63" s="9"/>
      <c r="U63" s="21">
        <f>IF(U$15="Increase",IF(F63="y",0,IF($E63&gt;0,M63*$E63*(1+U$16),0)),IF(F63="y",0,IF($E63&gt;0,M63*$E63*(1-U$16),0)))</f>
        <v>0.59494531250000005</v>
      </c>
      <c r="V63" s="21">
        <f>IF(V$15="Increase",IF(F63="y",0,IF($E63&gt;0,(O63*B$4*(1-B$7))*$E63*(1+V$16),0)),IF(F63="y",0,IF($E63&gt;0,(O63*B$4*(1-B$7))*$E63*(1-V$16),0)))</f>
        <v>1.29375</v>
      </c>
      <c r="W63" s="21">
        <f>IF(W$15="Increase",IF(F63="y",0,IF($E63&gt;0,(O63*B$6*(B$7))*$E63*(1+W$16),0)),IF(F63="y",0,IF($E63&gt;0,(O63*B$6*(B$7))*$E63*(1-W$16),0)))</f>
        <v>0</v>
      </c>
      <c r="X63" s="21">
        <f>IF(X$15="Increase",IF(F63="y",0,IF($E63&gt;0,R63*$E63*(1+X$16),0)),IF(F63="y",0,IF($E63&gt;0,R63*$E63*(1-X$16),0)))</f>
        <v>5.5398414843750015</v>
      </c>
      <c r="Y63" s="21">
        <f>IF(Y$15="Increase",IF(F63="y",0,IF($E63&gt;0,S63*$E63*(1+Y$16),0)),IF(F63="y",0,IF($E63&gt;0,S63*$E63*(1-Y$16),0)))</f>
        <v>11.247556953124999</v>
      </c>
      <c r="Z63" s="21">
        <f>IF(Z$15="Increase",IF(F63="y",I63*E63*(1+Z$16),0),IF(F63="y",I63*E63*(1-Z$16),0))</f>
        <v>0</v>
      </c>
      <c r="AA63" s="23"/>
      <c r="AB63" s="23"/>
    </row>
    <row r="64" spans="1:28" x14ac:dyDescent="0.2">
      <c r="A64" s="9" t="s">
        <v>43</v>
      </c>
      <c r="B64" s="9"/>
      <c r="C64" s="9"/>
      <c r="D64" s="9"/>
      <c r="E64" s="29"/>
      <c r="F64" s="30"/>
      <c r="G64" s="33"/>
      <c r="H64" s="6"/>
      <c r="I64" s="6">
        <f>IF(G64&gt;0,G64,H64-(L64*B$2*1.05)+M64-O64*12.5+P64)</f>
        <v>3.2967592592592604E-2</v>
      </c>
      <c r="J64" s="6"/>
      <c r="K64" s="6"/>
      <c r="L64" s="11">
        <v>0.11</v>
      </c>
      <c r="M64" s="21">
        <f t="shared" si="58"/>
        <v>0.22137499999999999</v>
      </c>
      <c r="N64" s="12">
        <v>1.4814814814814815E-2</v>
      </c>
      <c r="O64" s="12">
        <f t="shared" si="59"/>
        <v>1.7037037037037038E-2</v>
      </c>
      <c r="P64" s="21">
        <f>O64*B$4*(1-B$7)+O64*B$6*(B$7)</f>
        <v>0.25555555555555559</v>
      </c>
      <c r="Q64" s="21">
        <f>I64-M64-P64</f>
        <v>-0.443962962962963</v>
      </c>
      <c r="R64" s="21">
        <f>Q64*B$12</f>
        <v>-0.14650777777777779</v>
      </c>
      <c r="S64" s="21">
        <f>Q64-R64</f>
        <v>-0.29745518518518521</v>
      </c>
      <c r="T64" s="9"/>
      <c r="U64" s="21">
        <f>IF(U$15="Increase",IF(F64="y",0,IF($E64&gt;0,M64*$E64*(1+U$16),0)),IF(F64="y",0,IF($E64&gt;0,M64*$E64*(1-U$16),0)))</f>
        <v>0</v>
      </c>
      <c r="V64" s="21">
        <f>IF(V$15="Increase",IF(F64="y",0,IF($E64&gt;0,(O64*B$4*(1-B$7))*$E64*(1+V$16),0)),IF(F64="y",0,IF($E64&gt;0,(O64*B$4*(1-B$7))*$E64*(1-V$16),0)))</f>
        <v>0</v>
      </c>
      <c r="W64" s="21">
        <f>IF(W$15="Increase",IF(F64="y",0,IF($E64&gt;0,(O64*B$6*(B$7))*$E64*(1+W$16),0)),IF(F64="y",0,IF($E64&gt;0,(O64*B$6*(B$7))*$E64*(1-W$16),0)))</f>
        <v>0</v>
      </c>
      <c r="X64" s="21">
        <f>IF(X$15="Increase",IF(F64="y",0,IF($E64&gt;0,R64*$E64*(1+X$16),0)),IF(F64="y",0,IF($E64&gt;0,R64*$E64*(1-X$16),0)))</f>
        <v>0</v>
      </c>
      <c r="Y64" s="21">
        <f>IF(Y$15="Increase",IF(F64="y",0,IF($E64&gt;0,S64*$E64*(1+Y$16),0)),IF(F64="y",0,IF($E64&gt;0,S64*$E64*(1-Y$16),0)))</f>
        <v>0</v>
      </c>
      <c r="Z64" s="21">
        <f>IF(Z$15="Increase",IF(F64="y",I64*E64*(1+Z$16),0),IF(F64="y",I64*E64*(1-Z$16),0))</f>
        <v>0</v>
      </c>
      <c r="AA64" s="23"/>
      <c r="AB64" s="23"/>
    </row>
    <row r="65" spans="1:28" x14ac:dyDescent="0.2">
      <c r="A65" s="9"/>
      <c r="B65" s="9"/>
      <c r="C65" s="9"/>
      <c r="D65" s="9"/>
      <c r="E65" s="29"/>
      <c r="F65" s="30"/>
      <c r="G65" s="33"/>
      <c r="H65" s="6"/>
      <c r="I65" s="6"/>
      <c r="J65" s="6"/>
      <c r="K65" s="6"/>
      <c r="L65" s="9"/>
      <c r="M65" s="9"/>
      <c r="N65" s="9"/>
      <c r="O65" s="9"/>
      <c r="P65" s="9"/>
      <c r="Q65" s="9"/>
      <c r="R65" s="9"/>
      <c r="S65" s="9"/>
      <c r="T65" s="9"/>
      <c r="U65" s="9"/>
      <c r="V65" s="9"/>
      <c r="W65" s="9"/>
      <c r="X65" s="9"/>
      <c r="Y65" s="9"/>
      <c r="Z65" s="9"/>
      <c r="AA65" s="23"/>
      <c r="AB65" s="23"/>
    </row>
    <row r="66" spans="1:28" x14ac:dyDescent="0.2">
      <c r="A66" s="10" t="s">
        <v>44</v>
      </c>
      <c r="B66" s="10"/>
      <c r="C66" s="10"/>
      <c r="D66" s="10"/>
      <c r="E66" s="29"/>
      <c r="F66" s="30"/>
      <c r="G66" s="33"/>
      <c r="H66" s="6"/>
      <c r="I66" s="6"/>
      <c r="J66" s="6"/>
      <c r="K66" s="6"/>
      <c r="L66" s="9"/>
      <c r="M66" s="9"/>
      <c r="N66" s="9"/>
      <c r="O66" s="9"/>
      <c r="P66" s="9"/>
      <c r="Q66" s="9"/>
      <c r="R66" s="9"/>
      <c r="S66" s="9"/>
      <c r="T66" s="9"/>
      <c r="U66" s="9"/>
      <c r="V66" s="9"/>
      <c r="W66" s="9"/>
      <c r="X66" s="9"/>
      <c r="Y66" s="9"/>
      <c r="Z66" s="9"/>
      <c r="AA66" s="23"/>
      <c r="AB66" s="23"/>
    </row>
    <row r="67" spans="1:28" x14ac:dyDescent="0.2">
      <c r="A67" s="9" t="s">
        <v>45</v>
      </c>
      <c r="B67" s="9"/>
      <c r="C67" s="9"/>
      <c r="D67" s="9"/>
      <c r="E67" s="29"/>
      <c r="F67" s="30"/>
      <c r="G67" s="33"/>
      <c r="H67" s="6"/>
      <c r="I67" s="6">
        <f>IF(G67&gt;0,G67,H67-(L67*B$2*1.05)+M67-O67*12.5+P67)</f>
        <v>8.7246990740740715E-2</v>
      </c>
      <c r="J67" s="6"/>
      <c r="K67" s="6"/>
      <c r="L67" s="11">
        <v>0.26850000000000002</v>
      </c>
      <c r="M67" s="21">
        <f t="shared" ref="M67:M68" si="60">L67*B$3*(1+B$13)</f>
        <v>0.54035624999999998</v>
      </c>
      <c r="N67" s="12">
        <v>3.8518518518518521E-2</v>
      </c>
      <c r="O67" s="12">
        <f t="shared" ref="O67:O68" si="61">N67*(1+B$16)</f>
        <v>4.4296296296296299E-2</v>
      </c>
      <c r="P67" s="21">
        <f>O67*B$4*(1-B$7)+O67*B$6*(B$7)</f>
        <v>0.6644444444444445</v>
      </c>
      <c r="Q67" s="21">
        <f>I67-M67-P67</f>
        <v>-1.1175537037037038</v>
      </c>
      <c r="R67" s="21">
        <f>Q67*B$12</f>
        <v>-0.36879272222222226</v>
      </c>
      <c r="S67" s="21">
        <f>Q67-R67</f>
        <v>-0.74876098148148151</v>
      </c>
      <c r="T67" s="9"/>
      <c r="U67" s="21">
        <f>IF(U$15="Increase",IF(F67="y",0,IF($E67&gt;0,M67*$E67*(1+U$16),0)),IF(F67="y",0,IF($E67&gt;0,M67*$E67*(1-U$16),0)))</f>
        <v>0</v>
      </c>
      <c r="V67" s="21">
        <f>IF(V$15="Increase",IF(F67="y",0,IF($E67&gt;0,(O67*B$4*(1-B$7))*$E67*(1+V$16),0)),IF(F67="y",0,IF($E67&gt;0,(O67*B$4*(1-B$7))*$E67*(1-V$16),0)))</f>
        <v>0</v>
      </c>
      <c r="W67" s="21">
        <f>IF(W$15="Increase",IF(F67="y",0,IF($E67&gt;0,(O67*B$6*(B$7))*$E67*(1+W$16),0)),IF(F67="y",0,IF($E67&gt;0,(O67*B$6*(B$7))*$E67*(1-W$16),0)))</f>
        <v>0</v>
      </c>
      <c r="X67" s="21">
        <f>IF(X$15="Increase",IF(F67="y",0,IF($E67&gt;0,R67*$E67*(1+X$16),0)),IF(F67="y",0,IF($E67&gt;0,R67*$E67*(1-X$16),0)))</f>
        <v>0</v>
      </c>
      <c r="Y67" s="21">
        <f>IF(Y$15="Increase",IF(F67="y",0,IF($E67&gt;0,S67*$E67*(1+Y$16),0)),IF(F67="y",0,IF($E67&gt;0,S67*$E67*(1-Y$16),0)))</f>
        <v>0</v>
      </c>
      <c r="Z67" s="21">
        <f>IF(Z$15="Increase",IF(F67="y",I67*E67*(1+Z$16),0),IF(F67="y",I67*E67*(1-Z$16),0))</f>
        <v>0</v>
      </c>
      <c r="AA67" s="23"/>
      <c r="AB67" s="23"/>
    </row>
    <row r="68" spans="1:28" x14ac:dyDescent="0.2">
      <c r="A68" s="9" t="s">
        <v>46</v>
      </c>
      <c r="B68" s="9"/>
      <c r="C68" s="9"/>
      <c r="D68" s="9"/>
      <c r="E68" s="29"/>
      <c r="F68" s="30"/>
      <c r="G68" s="33"/>
      <c r="H68" s="6"/>
      <c r="I68" s="6">
        <f>IF(G68&gt;0,G68,H68-(L68*B$2*1.05)+M68-O68*12.5+P68)</f>
        <v>0.19769099326599315</v>
      </c>
      <c r="J68" s="6"/>
      <c r="K68" s="6"/>
      <c r="L68" s="11">
        <v>0.52800000000000002</v>
      </c>
      <c r="M68" s="21">
        <f t="shared" si="60"/>
        <v>1.0626</v>
      </c>
      <c r="N68" s="12">
        <v>8.4831649831649841E-2</v>
      </c>
      <c r="O68" s="12">
        <f t="shared" si="61"/>
        <v>9.7556397306397313E-2</v>
      </c>
      <c r="P68" s="21">
        <f>O68*B$4*(1-B$7)+O68*B$6*(B$7)</f>
        <v>1.4633459595959597</v>
      </c>
      <c r="Q68" s="21">
        <f>I68-M68-P68</f>
        <v>-2.3282549663299665</v>
      </c>
      <c r="R68" s="21">
        <f>Q68*B$12</f>
        <v>-0.76832413888888895</v>
      </c>
      <c r="S68" s="21">
        <f>Q68-R68</f>
        <v>-1.5599308274410775</v>
      </c>
      <c r="T68" s="9"/>
      <c r="U68" s="21">
        <f>IF(U$15="Increase",IF(F68="y",0,IF($E68&gt;0,M68*$E68*(1+U$16),0)),IF(F68="y",0,IF($E68&gt;0,M68*$E68*(1-U$16),0)))</f>
        <v>0</v>
      </c>
      <c r="V68" s="21">
        <f>IF(V$15="Increase",IF(F68="y",0,IF($E68&gt;0,(O68*B$4*(1-B$7))*$E68*(1+V$16),0)),IF(F68="y",0,IF($E68&gt;0,(O68*B$4*(1-B$7))*$E68*(1-V$16),0)))</f>
        <v>0</v>
      </c>
      <c r="W68" s="21">
        <f>IF(W$15="Increase",IF(F68="y",0,IF($E68&gt;0,(O68*B$6*(B$7))*$E68*(1+W$16),0)),IF(F68="y",0,IF($E68&gt;0,(O68*B$6*(B$7))*$E68*(1-W$16),0)))</f>
        <v>0</v>
      </c>
      <c r="X68" s="21">
        <f>IF(X$15="Increase",IF(F68="y",0,IF($E68&gt;0,R68*$E68*(1+X$16),0)),IF(F68="y",0,IF($E68&gt;0,R68*$E68*(1-X$16),0)))</f>
        <v>0</v>
      </c>
      <c r="Y68" s="21">
        <f>IF(Y$15="Increase",IF(F68="y",0,IF($E68&gt;0,S68*$E68*(1+Y$16),0)),IF(F68="y",0,IF($E68&gt;0,S68*$E68*(1-Y$16),0)))</f>
        <v>0</v>
      </c>
      <c r="Z68" s="21">
        <f>IF(Z$15="Increase",IF(F68="y",I68*E68*(1+Z$16),0),IF(F68="y",I68*E68*(1-Z$16),0))</f>
        <v>0</v>
      </c>
      <c r="AA68" s="23"/>
      <c r="AB68" s="23"/>
    </row>
    <row r="69" spans="1:28" x14ac:dyDescent="0.2">
      <c r="A69" s="9"/>
      <c r="B69" s="9"/>
      <c r="C69" s="9"/>
      <c r="D69" s="9"/>
      <c r="E69" s="29"/>
      <c r="F69" s="30"/>
      <c r="G69" s="33"/>
      <c r="H69" s="6"/>
      <c r="I69" s="6"/>
      <c r="J69" s="6"/>
      <c r="K69" s="6"/>
      <c r="L69" s="11"/>
      <c r="M69" s="21"/>
      <c r="N69" s="12"/>
      <c r="O69" s="12"/>
      <c r="P69" s="21"/>
      <c r="Q69" s="21"/>
      <c r="R69" s="21"/>
      <c r="S69" s="21"/>
      <c r="T69" s="9"/>
      <c r="U69" s="21"/>
      <c r="V69" s="21"/>
      <c r="W69" s="21"/>
      <c r="X69" s="21"/>
      <c r="Y69" s="21"/>
      <c r="Z69" s="21"/>
      <c r="AA69" s="23"/>
      <c r="AB69" s="23"/>
    </row>
    <row r="70" spans="1:28" s="23" customFormat="1" x14ac:dyDescent="0.2">
      <c r="A70" s="10" t="s">
        <v>290</v>
      </c>
      <c r="B70" s="10"/>
      <c r="C70" s="10"/>
      <c r="D70" s="10"/>
      <c r="E70" s="176"/>
      <c r="F70" s="175"/>
      <c r="G70" s="339"/>
      <c r="H70" s="6"/>
      <c r="I70" s="6"/>
      <c r="J70" s="6"/>
      <c r="K70" s="6"/>
      <c r="L70" s="11"/>
      <c r="M70" s="21"/>
      <c r="N70" s="12"/>
      <c r="O70" s="12"/>
      <c r="P70" s="21"/>
      <c r="Q70" s="21"/>
      <c r="R70" s="21"/>
      <c r="S70" s="21"/>
      <c r="T70" s="9"/>
      <c r="U70" s="21"/>
      <c r="V70" s="21"/>
      <c r="W70" s="21"/>
      <c r="X70" s="21"/>
      <c r="Y70" s="21"/>
      <c r="Z70" s="21"/>
    </row>
    <row r="71" spans="1:28" s="23" customFormat="1" x14ac:dyDescent="0.2">
      <c r="A71" s="65" t="s">
        <v>289</v>
      </c>
      <c r="B71" s="65"/>
      <c r="C71" s="65"/>
      <c r="D71" s="65"/>
      <c r="E71" s="176"/>
      <c r="F71" s="175"/>
      <c r="G71" s="339"/>
      <c r="H71" s="6"/>
      <c r="I71" s="6"/>
      <c r="J71" s="6"/>
      <c r="K71" s="6"/>
      <c r="L71" s="11"/>
      <c r="M71" s="21"/>
      <c r="N71" s="12"/>
      <c r="O71" s="12"/>
      <c r="P71" s="21"/>
      <c r="Q71" s="21"/>
      <c r="R71" s="21"/>
      <c r="S71" s="21"/>
      <c r="T71" s="9"/>
      <c r="U71" s="21"/>
      <c r="V71" s="9">
        <f>B4*(1-B7)*B15</f>
        <v>11.25</v>
      </c>
      <c r="W71" s="21">
        <f>B6*B7*B15</f>
        <v>0</v>
      </c>
      <c r="X71" s="9"/>
      <c r="Y71" s="9"/>
      <c r="Z71" s="21"/>
      <c r="AB71" s="39"/>
    </row>
    <row r="72" spans="1:28" s="23" customFormat="1" x14ac:dyDescent="0.2">
      <c r="A72" s="65" t="s">
        <v>407</v>
      </c>
      <c r="B72" s="65"/>
      <c r="C72" s="65"/>
      <c r="D72" s="65"/>
      <c r="E72" s="176"/>
      <c r="F72" s="175"/>
      <c r="G72" s="339"/>
      <c r="H72" s="6"/>
      <c r="I72" s="6"/>
      <c r="J72" s="6"/>
      <c r="K72" s="6"/>
      <c r="L72" s="11"/>
      <c r="M72" s="21"/>
      <c r="N72" s="12"/>
      <c r="O72" s="12"/>
      <c r="P72" s="21"/>
      <c r="Q72" s="21"/>
      <c r="R72" s="21"/>
      <c r="S72" s="21"/>
      <c r="T72" s="9"/>
      <c r="U72" s="21">
        <f>'Machinery(Heirloom)'!C38*'Machinery(Heirloom)'!C5</f>
        <v>0.61249999999999993</v>
      </c>
      <c r="V72" s="9"/>
      <c r="W72" s="21"/>
      <c r="X72" s="9"/>
      <c r="Y72" s="9"/>
      <c r="Z72" s="21"/>
      <c r="AB72" s="39"/>
    </row>
    <row r="73" spans="1:28" x14ac:dyDescent="0.2">
      <c r="A73" s="9"/>
      <c r="B73" s="9"/>
      <c r="C73" s="9"/>
      <c r="D73" s="9"/>
      <c r="E73" s="29"/>
      <c r="F73" s="30"/>
      <c r="G73" s="33"/>
      <c r="H73" s="6"/>
      <c r="I73" s="6"/>
      <c r="J73" s="6"/>
      <c r="K73" s="6"/>
      <c r="L73" s="11"/>
      <c r="M73" s="5"/>
      <c r="N73" s="12"/>
      <c r="O73" s="12"/>
      <c r="P73" s="5"/>
      <c r="Q73" s="5"/>
      <c r="R73" s="5"/>
      <c r="S73" s="5"/>
      <c r="T73" s="4"/>
      <c r="U73" s="21"/>
      <c r="V73" s="21"/>
      <c r="W73" s="21"/>
      <c r="X73" s="21"/>
      <c r="Y73" s="21"/>
      <c r="Z73" s="21"/>
      <c r="AB73" s="16"/>
    </row>
    <row r="74" spans="1:28" x14ac:dyDescent="0.2">
      <c r="A74" s="13" t="s">
        <v>83</v>
      </c>
      <c r="B74" s="13"/>
      <c r="C74" s="13"/>
      <c r="D74" s="13"/>
      <c r="E74" s="27"/>
      <c r="F74" s="28"/>
      <c r="G74" s="34"/>
      <c r="H74" s="9"/>
      <c r="I74" s="4"/>
      <c r="J74" s="4"/>
      <c r="K74" s="4"/>
      <c r="L74" s="4"/>
      <c r="M74" s="4"/>
      <c r="N74" s="4"/>
      <c r="O74" s="4"/>
      <c r="P74" s="4"/>
      <c r="Q74" s="4"/>
      <c r="R74" s="4"/>
      <c r="S74" s="4"/>
      <c r="T74" s="4"/>
      <c r="U74" s="15">
        <f t="shared" ref="U74:Z74" si="62">SUM(U20:U73)</f>
        <v>13.827764904609776</v>
      </c>
      <c r="V74" s="15">
        <f t="shared" si="62"/>
        <v>26.475557062697341</v>
      </c>
      <c r="W74" s="15">
        <f t="shared" si="62"/>
        <v>0</v>
      </c>
      <c r="X74" s="15">
        <f t="shared" si="62"/>
        <v>27.348730214959161</v>
      </c>
      <c r="Y74" s="15">
        <f t="shared" si="62"/>
        <v>55.52620983037162</v>
      </c>
      <c r="Z74" s="15">
        <f t="shared" si="62"/>
        <v>0</v>
      </c>
    </row>
    <row r="75" spans="1:28" s="8" customFormat="1" x14ac:dyDescent="0.2">
      <c r="A75" s="13" t="s">
        <v>130</v>
      </c>
      <c r="B75" s="13"/>
      <c r="C75" s="13"/>
      <c r="D75" s="13"/>
      <c r="E75" s="27"/>
      <c r="F75" s="28"/>
      <c r="G75" s="34"/>
      <c r="H75" s="179"/>
      <c r="I75" s="13"/>
      <c r="J75" s="13"/>
      <c r="K75" s="13"/>
      <c r="L75" s="13"/>
      <c r="M75" s="13"/>
      <c r="N75" s="13"/>
      <c r="O75" s="13"/>
      <c r="P75" s="13"/>
      <c r="Q75" s="13"/>
      <c r="R75" s="13"/>
      <c r="S75" s="13"/>
      <c r="T75" s="13"/>
      <c r="U75" s="15">
        <f>U74 - (U74/$Z76)*Heirloom!$J25</f>
        <v>13.827764904609776</v>
      </c>
      <c r="V75" s="15">
        <f>V74 - (V74/$Z76)*Heirloom!$J25</f>
        <v>26.475557062697341</v>
      </c>
      <c r="W75" s="15">
        <f>W74 - (W74/$Z76)*Heirloom!$J25</f>
        <v>0</v>
      </c>
      <c r="X75" s="15">
        <f>X74 - (X74/$Z76)*Heirloom!$J25</f>
        <v>27.348730214959161</v>
      </c>
      <c r="Y75" s="15">
        <f>Y74 - (Y74/$Z76)*Heirloom!$J25</f>
        <v>55.52620983037162</v>
      </c>
      <c r="Z75" s="15">
        <f>Heirloom!J25</f>
        <v>0</v>
      </c>
    </row>
    <row r="76" spans="1:28" x14ac:dyDescent="0.2">
      <c r="Z76" s="7">
        <f>SUM(U74:Z74)</f>
        <v>123.1782620126379</v>
      </c>
    </row>
    <row r="77" spans="1:28" x14ac:dyDescent="0.2">
      <c r="V77" s="2"/>
      <c r="Z77" s="7">
        <f>SUM(U75:Z75)</f>
        <v>123.1782620126379</v>
      </c>
    </row>
    <row r="78" spans="1:28" x14ac:dyDescent="0.2">
      <c r="N78" s="91"/>
      <c r="O78" s="91"/>
      <c r="T78" s="38"/>
      <c r="U78" s="92"/>
      <c r="V78" s="90"/>
      <c r="W78" s="90"/>
      <c r="X78" s="90"/>
      <c r="Y78" s="90"/>
      <c r="Z78" s="92"/>
    </row>
    <row r="79" spans="1:28" x14ac:dyDescent="0.2">
      <c r="A79" s="23"/>
      <c r="B79" s="23"/>
      <c r="C79" s="23"/>
      <c r="D79" s="23"/>
      <c r="E79" s="23"/>
      <c r="F79" s="23"/>
      <c r="G79" s="23"/>
      <c r="I79" s="23"/>
      <c r="J79" s="23"/>
      <c r="K79" s="23"/>
      <c r="L79" s="23"/>
      <c r="M79" s="23"/>
      <c r="N79" s="23"/>
      <c r="O79" s="23"/>
      <c r="P79" s="23"/>
      <c r="Q79" s="23"/>
      <c r="R79" s="23"/>
      <c r="S79" s="23"/>
      <c r="T79" s="82"/>
      <c r="U79" s="92"/>
      <c r="V79" s="92"/>
      <c r="W79" s="92"/>
      <c r="X79" s="92"/>
      <c r="Y79" s="92"/>
      <c r="Z79" s="92"/>
      <c r="AA79" s="23"/>
      <c r="AB79" s="23"/>
    </row>
    <row r="80" spans="1:28" x14ac:dyDescent="0.2">
      <c r="A80" s="23"/>
      <c r="B80" s="23"/>
      <c r="C80" s="23"/>
      <c r="D80" s="23"/>
      <c r="E80" s="23"/>
      <c r="F80" s="23"/>
      <c r="G80" s="23"/>
      <c r="I80" s="23"/>
      <c r="J80" s="23"/>
      <c r="K80" s="23"/>
      <c r="L80" s="23"/>
      <c r="M80" s="23"/>
      <c r="N80" s="23"/>
      <c r="O80" s="23"/>
      <c r="P80" s="23"/>
      <c r="Q80" s="23"/>
      <c r="R80" s="23"/>
      <c r="S80" s="23"/>
      <c r="T80" s="23"/>
      <c r="U80" s="23"/>
      <c r="V80" s="23"/>
      <c r="W80" s="23"/>
      <c r="X80" s="23"/>
      <c r="Y80" s="23"/>
      <c r="Z80" s="23"/>
      <c r="AA80" s="23"/>
      <c r="AB80" s="23"/>
    </row>
    <row r="81" spans="1:28" x14ac:dyDescent="0.2">
      <c r="A81" s="687" t="s">
        <v>102</v>
      </c>
      <c r="B81" s="688"/>
      <c r="C81" s="688"/>
      <c r="D81" s="688"/>
      <c r="E81" s="689"/>
      <c r="F81" s="23"/>
      <c r="G81" s="23"/>
      <c r="I81" s="21">
        <f>IF(G51&gt;0,G51,Trucking!H26*Heirloom!E6)</f>
        <v>22.103462458454093</v>
      </c>
      <c r="J81" s="21"/>
      <c r="K81" s="21"/>
      <c r="L81" s="21">
        <f>((Heirloom!E6*Trucking!B26*2)*(1+Trucking!C4))/(Trucking!C3*Trucking!C2)</f>
        <v>2.3486842105263159</v>
      </c>
      <c r="M81" s="21">
        <f>L51*Trucking!C9</f>
        <v>4.8617763157894736</v>
      </c>
      <c r="N81" s="9"/>
      <c r="O81" s="9">
        <f>Heirloom!E6*((((B8*2)/Trucking!C7) + (Trucking!C5/60)))/Trucking!C2</f>
        <v>0.38771929824561407</v>
      </c>
      <c r="P81" s="21">
        <f>O51*B$4*(1-B$7)+O51*B$6*(B$7)</f>
        <v>5.8157894736842115</v>
      </c>
      <c r="Q81" s="21">
        <f>I81-M81-P81</f>
        <v>11.425896668980407</v>
      </c>
      <c r="R81" s="21">
        <f>Q81*B$12</f>
        <v>3.7705459007635342</v>
      </c>
      <c r="S81" s="21">
        <f>Q81-R81</f>
        <v>7.6553507682168727</v>
      </c>
      <c r="T81" s="9"/>
      <c r="U81" s="21">
        <f>IF(U$15="Increase",IF(F51="y",0,IF($B8&gt;0,M51*(1+U$16),0)),IF(F51="y",0,IF($B8&gt;0,M51*(1-U$16),0)))</f>
        <v>4.8617763157894736</v>
      </c>
      <c r="V81" s="21">
        <f>IF(V$15="Increase",IF(F51="y",0,IF($B8&gt;0,(O51*B$4*(1-B$7)*(1+V$16)),0)),IF(F51="y",0,IF($B8&gt;0,(O51*B$4*(1-B$7)*(1-V$16)),0)))</f>
        <v>5.8157894736842115</v>
      </c>
      <c r="W81" s="21">
        <f>IF(W$15="Increase",IF(F51="y",0,IF($B8&gt;0,(O51*B$6*(B$7)*(1+W$16)),0)),IF(F51="y",0,IF($B8&gt;0,(O51*B$6*(B$7)*(1-W$16)),0)))</f>
        <v>0</v>
      </c>
      <c r="X81" s="21">
        <f>IF(X$15="Increase",IF(F51="y",0,IF($B8&gt;0,R51*(1+X$16),0)),IF(F51="y",0,IF($B8&gt;0,R51*(1-X$16),0)))</f>
        <v>3.7705459007635342</v>
      </c>
      <c r="Y81" s="21">
        <f>IF(Y$15="Increase",IF(F51="y",0,IF($B8&gt;0,S51*(1+Y$16),0)),IF(F51="y",0,IF($B8&gt;0,S51*(1-Y$16),0)))</f>
        <v>7.6553507682168727</v>
      </c>
      <c r="Z81" s="21">
        <f>IF(Z$15="Increase",IF(F51="y",I51*(1+Z$16),0),IF(F51="y",I51*(1-Z$16),0))</f>
        <v>0</v>
      </c>
      <c r="AA81" s="181">
        <f>SUM(U81:Z81)</f>
        <v>22.103462458454093</v>
      </c>
      <c r="AB81" s="23"/>
    </row>
    <row r="82" spans="1:28" x14ac:dyDescent="0.2">
      <c r="A82" s="23"/>
      <c r="B82" s="23"/>
      <c r="C82" s="23"/>
      <c r="D82" s="23"/>
      <c r="E82" s="23"/>
      <c r="F82" s="23"/>
      <c r="G82" s="23"/>
      <c r="I82" s="23"/>
      <c r="J82" s="23"/>
      <c r="K82" s="23"/>
      <c r="L82" s="23"/>
      <c r="M82" s="23"/>
      <c r="N82" s="23"/>
      <c r="O82" s="23"/>
      <c r="P82" s="23"/>
      <c r="Q82" s="23"/>
      <c r="R82" s="23"/>
      <c r="S82" s="23"/>
      <c r="T82" s="23"/>
      <c r="U82" s="23"/>
      <c r="V82" s="23"/>
      <c r="W82" s="23"/>
      <c r="X82" s="23"/>
      <c r="Y82" s="23"/>
      <c r="Z82" s="23"/>
      <c r="AA82" s="23"/>
      <c r="AB82" s="23"/>
    </row>
    <row r="83" spans="1:28" x14ac:dyDescent="0.2">
      <c r="A83" s="23"/>
      <c r="B83" s="23"/>
      <c r="C83" s="23"/>
      <c r="D83" s="23"/>
      <c r="E83" s="23"/>
      <c r="F83" s="23"/>
      <c r="G83" s="23"/>
      <c r="I83" s="23"/>
      <c r="J83" s="23"/>
      <c r="K83" s="23"/>
      <c r="L83" s="23"/>
      <c r="M83" s="23"/>
      <c r="N83" s="23"/>
      <c r="O83" s="23"/>
      <c r="P83" s="23"/>
      <c r="Q83" s="23"/>
      <c r="R83" s="23"/>
      <c r="S83" s="23"/>
      <c r="T83" s="23"/>
      <c r="U83" s="23"/>
      <c r="V83" s="23"/>
      <c r="W83" s="23"/>
      <c r="X83" s="23"/>
      <c r="Y83" s="23"/>
      <c r="Z83" s="23"/>
      <c r="AA83" s="23"/>
      <c r="AB83" s="23"/>
    </row>
    <row r="85" spans="1:28" x14ac:dyDescent="0.2">
      <c r="I85" s="97"/>
      <c r="J85" s="97"/>
      <c r="K85" s="97"/>
    </row>
    <row r="86" spans="1:28" x14ac:dyDescent="0.2">
      <c r="I86" s="82"/>
      <c r="J86" s="82"/>
      <c r="K86" s="82"/>
    </row>
    <row r="87" spans="1:28" x14ac:dyDescent="0.2">
      <c r="I87" s="82"/>
      <c r="J87" s="82"/>
      <c r="K87" s="82"/>
    </row>
    <row r="102" spans="8:8" x14ac:dyDescent="0.2">
      <c r="H102" s="23" t="str">
        <f>'Machinery(Heirloom)'!B49</f>
        <v>Y</v>
      </c>
    </row>
    <row r="103" spans="8:8" x14ac:dyDescent="0.2">
      <c r="H103" s="23" t="str">
        <f>'Machinery(Heirloom)'!B50</f>
        <v>N</v>
      </c>
    </row>
  </sheetData>
  <mergeCells count="19">
    <mergeCell ref="D6:Z6"/>
    <mergeCell ref="A1:Z1"/>
    <mergeCell ref="D2:Z2"/>
    <mergeCell ref="D3:Z3"/>
    <mergeCell ref="D4:Z4"/>
    <mergeCell ref="D5:Z5"/>
    <mergeCell ref="D7:Z7"/>
    <mergeCell ref="D8:Z8"/>
    <mergeCell ref="A9:G9"/>
    <mergeCell ref="H9:Z9"/>
    <mergeCell ref="A10:G10"/>
    <mergeCell ref="H10:Z10"/>
    <mergeCell ref="A81:E81"/>
    <mergeCell ref="A11:G11"/>
    <mergeCell ref="H11:Z11"/>
    <mergeCell ref="H12:Z12"/>
    <mergeCell ref="H14:T16"/>
    <mergeCell ref="U14:Z14"/>
    <mergeCell ref="A51:E51"/>
  </mergeCells>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06"/>
  <sheetViews>
    <sheetView showGridLines="0" zoomScaleNormal="100" workbookViewId="0">
      <selection activeCell="M53" sqref="M53"/>
    </sheetView>
  </sheetViews>
  <sheetFormatPr defaultColWidth="9.140625" defaultRowHeight="12.75" x14ac:dyDescent="0.2"/>
  <cols>
    <col min="1" max="1" width="3.7109375" style="348" customWidth="1"/>
    <col min="2" max="2" width="4" style="348" customWidth="1"/>
    <col min="3" max="4" width="16.7109375" style="348" customWidth="1"/>
    <col min="5" max="5" width="8.7109375" style="348" customWidth="1"/>
    <col min="6" max="6" width="9.85546875" style="348" customWidth="1"/>
    <col min="7" max="7" width="8.7109375" style="348" customWidth="1"/>
    <col min="8" max="8" width="13.7109375" style="348" customWidth="1"/>
    <col min="9" max="9" width="5.7109375" style="348" customWidth="1"/>
    <col min="10" max="10" width="10.28515625" style="348" bestFit="1" customWidth="1"/>
    <col min="11" max="11" width="3.7109375" style="348" customWidth="1"/>
    <col min="12" max="12" width="5.7109375" style="348" customWidth="1"/>
    <col min="13" max="13" width="20.140625" style="349" customWidth="1"/>
    <col min="14" max="15" width="7.7109375" style="349" customWidth="1"/>
    <col min="16" max="18" width="7.7109375" style="348" customWidth="1"/>
    <col min="19" max="19" width="9.140625" style="348" customWidth="1"/>
    <col min="20" max="20" width="11.7109375" style="348" customWidth="1"/>
    <col min="21" max="21" width="7.140625" style="348" customWidth="1"/>
    <col min="22" max="16384" width="9.140625" style="348"/>
  </cols>
  <sheetData>
    <row r="2" spans="2:25" ht="15.75" x14ac:dyDescent="0.2">
      <c r="B2" s="591" t="str">
        <f>'Machinery(Non-GMO)'!C16&amp;" Non-GMO Corn, Per Acre Costs and Returns"</f>
        <v>No-Till Non-GMO Corn, Per Acre Costs and Returns</v>
      </c>
      <c r="C2" s="592"/>
      <c r="D2" s="592"/>
      <c r="E2" s="592"/>
      <c r="F2" s="592"/>
      <c r="G2" s="592"/>
      <c r="H2" s="592"/>
      <c r="I2" s="592"/>
      <c r="J2" s="592"/>
      <c r="L2" s="348" t="s">
        <v>75</v>
      </c>
    </row>
    <row r="3" spans="2:25" ht="5.25" customHeight="1" x14ac:dyDescent="0.2">
      <c r="B3" s="578"/>
      <c r="C3" s="579"/>
      <c r="D3" s="579"/>
      <c r="E3" s="579"/>
      <c r="F3" s="579"/>
      <c r="G3" s="579"/>
      <c r="H3" s="579"/>
      <c r="I3" s="579"/>
      <c r="J3" s="580"/>
    </row>
    <row r="4" spans="2:25" s="350" customFormat="1" ht="12.95" customHeight="1" x14ac:dyDescent="0.2">
      <c r="B4" s="598"/>
      <c r="C4" s="599"/>
      <c r="D4" s="600"/>
      <c r="E4" s="143" t="s">
        <v>137</v>
      </c>
      <c r="F4" s="143" t="s">
        <v>52</v>
      </c>
      <c r="G4" s="143" t="s">
        <v>53</v>
      </c>
      <c r="H4" s="593"/>
      <c r="I4" s="594"/>
      <c r="J4" s="143" t="s">
        <v>5</v>
      </c>
    </row>
    <row r="5" spans="2:25" ht="12.95" customHeight="1" x14ac:dyDescent="0.2">
      <c r="B5" s="351" t="s">
        <v>54</v>
      </c>
      <c r="C5" s="351"/>
      <c r="D5" s="352"/>
      <c r="E5" s="572"/>
      <c r="F5" s="573"/>
      <c r="G5" s="573"/>
      <c r="H5" s="573"/>
      <c r="I5" s="573"/>
      <c r="J5" s="574"/>
    </row>
    <row r="6" spans="2:25" ht="12.95" customHeight="1" x14ac:dyDescent="0.2">
      <c r="B6" s="353"/>
      <c r="C6" s="543" t="s">
        <v>34</v>
      </c>
      <c r="D6" s="549"/>
      <c r="E6" s="233">
        <v>162</v>
      </c>
      <c r="F6" s="353" t="s">
        <v>55</v>
      </c>
      <c r="G6" s="234">
        <v>4</v>
      </c>
      <c r="H6" s="540"/>
      <c r="I6" s="540"/>
      <c r="J6" s="355">
        <f>E6*G6</f>
        <v>648</v>
      </c>
    </row>
    <row r="7" spans="2:25" ht="12.95" customHeight="1" x14ac:dyDescent="0.2">
      <c r="B7" s="353"/>
      <c r="C7" s="553" t="s">
        <v>168</v>
      </c>
      <c r="D7" s="597"/>
      <c r="E7" s="353">
        <v>1</v>
      </c>
      <c r="F7" s="353" t="s">
        <v>60</v>
      </c>
      <c r="G7" s="234">
        <v>0</v>
      </c>
      <c r="H7" s="595"/>
      <c r="I7" s="596"/>
      <c r="J7" s="356">
        <f>E7*G7</f>
        <v>0</v>
      </c>
    </row>
    <row r="8" spans="2:25" ht="12.95" customHeight="1" x14ac:dyDescent="0.2">
      <c r="B8" s="353"/>
      <c r="C8" s="553" t="s">
        <v>167</v>
      </c>
      <c r="D8" s="597"/>
      <c r="E8" s="353">
        <v>1</v>
      </c>
      <c r="F8" s="353" t="s">
        <v>60</v>
      </c>
      <c r="G8" s="234">
        <v>5</v>
      </c>
      <c r="H8" s="595"/>
      <c r="I8" s="596"/>
      <c r="J8" s="357">
        <f>E8*G8</f>
        <v>5</v>
      </c>
    </row>
    <row r="9" spans="2:25" ht="12.95" customHeight="1" x14ac:dyDescent="0.2">
      <c r="B9" s="550" t="s">
        <v>74</v>
      </c>
      <c r="C9" s="551"/>
      <c r="D9" s="552"/>
      <c r="E9" s="353"/>
      <c r="F9" s="353"/>
      <c r="G9" s="354"/>
      <c r="H9" s="540"/>
      <c r="I9" s="540"/>
      <c r="J9" s="358">
        <f>SUM(J6:J8)</f>
        <v>653</v>
      </c>
      <c r="L9" s="359"/>
      <c r="M9" s="360"/>
      <c r="N9" s="360"/>
      <c r="O9" s="360"/>
      <c r="P9" s="360"/>
      <c r="Q9" s="360"/>
      <c r="R9" s="360"/>
    </row>
    <row r="10" spans="2:25" ht="4.5" customHeight="1" x14ac:dyDescent="0.2">
      <c r="B10" s="578"/>
      <c r="C10" s="579"/>
      <c r="D10" s="579"/>
      <c r="E10" s="579"/>
      <c r="F10" s="579"/>
      <c r="G10" s="579"/>
      <c r="H10" s="579"/>
      <c r="I10" s="579"/>
      <c r="J10" s="580"/>
      <c r="L10" s="359"/>
      <c r="M10" s="360"/>
      <c r="N10" s="360"/>
      <c r="O10" s="360"/>
      <c r="P10" s="359"/>
      <c r="Q10" s="359"/>
      <c r="R10" s="359"/>
    </row>
    <row r="11" spans="2:25" ht="12.95" customHeight="1" x14ac:dyDescent="0.2">
      <c r="B11" s="550" t="s">
        <v>56</v>
      </c>
      <c r="C11" s="551"/>
      <c r="D11" s="552"/>
      <c r="E11" s="572"/>
      <c r="F11" s="573"/>
      <c r="G11" s="573"/>
      <c r="H11" s="573"/>
      <c r="I11" s="573"/>
      <c r="J11" s="574"/>
      <c r="K11" s="359"/>
      <c r="L11" s="534" t="s">
        <v>396</v>
      </c>
      <c r="M11" s="535"/>
      <c r="N11" s="533" t="s">
        <v>195</v>
      </c>
      <c r="O11" s="533" t="s">
        <v>266</v>
      </c>
      <c r="P11" s="533" t="s">
        <v>267</v>
      </c>
      <c r="Q11" s="533" t="s">
        <v>315</v>
      </c>
      <c r="R11" s="533" t="s">
        <v>314</v>
      </c>
      <c r="S11" s="533" t="str">
        <f>M14&amp;" Adjusted"</f>
        <v>DAP Adjusted</v>
      </c>
      <c r="T11" s="533" t="s">
        <v>324</v>
      </c>
      <c r="U11" s="539"/>
      <c r="V11" s="538"/>
      <c r="W11" s="359"/>
    </row>
    <row r="12" spans="2:25" ht="12.95" customHeight="1" thickBot="1" x14ac:dyDescent="0.25">
      <c r="B12" s="353"/>
      <c r="C12" s="543" t="s">
        <v>57</v>
      </c>
      <c r="D12" s="549"/>
      <c r="E12" s="242">
        <v>0.38</v>
      </c>
      <c r="F12" s="353" t="s">
        <v>58</v>
      </c>
      <c r="G12" s="234">
        <v>160</v>
      </c>
      <c r="H12" s="540"/>
      <c r="I12" s="540"/>
      <c r="J12" s="355">
        <f t="shared" ref="J12:J34" si="0">E12*G12</f>
        <v>60.8</v>
      </c>
      <c r="K12" s="361"/>
      <c r="L12" s="536"/>
      <c r="M12" s="537"/>
      <c r="N12" s="533"/>
      <c r="O12" s="533"/>
      <c r="P12" s="533"/>
      <c r="Q12" s="533"/>
      <c r="R12" s="533"/>
      <c r="S12" s="533"/>
      <c r="T12" s="533"/>
      <c r="U12" s="539"/>
      <c r="V12" s="538"/>
      <c r="W12" s="360"/>
      <c r="X12" s="349"/>
      <c r="Y12" s="349"/>
    </row>
    <row r="13" spans="2:25" ht="12.95" customHeight="1" thickBot="1" x14ac:dyDescent="0.25">
      <c r="B13" s="353"/>
      <c r="C13" s="601" t="s">
        <v>145</v>
      </c>
      <c r="D13" s="601"/>
      <c r="E13" s="233">
        <v>170</v>
      </c>
      <c r="F13" s="362" t="s">
        <v>166</v>
      </c>
      <c r="G13" s="234">
        <v>0.4</v>
      </c>
      <c r="H13" s="604" t="s">
        <v>348</v>
      </c>
      <c r="I13" s="605"/>
      <c r="J13" s="355">
        <f t="shared" si="0"/>
        <v>68</v>
      </c>
      <c r="K13" s="361"/>
      <c r="L13" s="363" t="s">
        <v>90</v>
      </c>
      <c r="M13" s="416" t="s">
        <v>197</v>
      </c>
      <c r="N13" s="364" t="str">
        <f>IF(M13=M74,R74,IF(M13=M75,R75,IF(M13=M76,R76,R77)))</f>
        <v>46-0-0</v>
      </c>
      <c r="O13" s="417">
        <v>360</v>
      </c>
      <c r="P13" s="365">
        <f>IF(M13=M74,O13/(2000*N74),IF(M13=M75,O13/(2000*N75),IF(M13=M76,O13/(2000*N76),O13/(2000*N77))))</f>
        <v>0.39130434782608697</v>
      </c>
      <c r="Q13" s="418">
        <v>325</v>
      </c>
      <c r="R13" s="366">
        <f>IF(M13=M74,Q13*N74,IF(M13=M75,Q13*N75,IF(M13=M76,Q13*N76,Q13*N77)))</f>
        <v>149.5</v>
      </c>
      <c r="S13" s="366">
        <f>IF(M14=M82,Q14*N82,IF(M14=M83,Q14*N83,Q14*N84))</f>
        <v>22.5</v>
      </c>
      <c r="T13" s="367">
        <f>SUM(R13:S13)</f>
        <v>172</v>
      </c>
      <c r="U13" s="368"/>
      <c r="V13" s="146"/>
      <c r="W13" s="360"/>
      <c r="X13" s="349"/>
      <c r="Y13" s="349"/>
    </row>
    <row r="14" spans="2:25" ht="12.95" customHeight="1" thickBot="1" x14ac:dyDescent="0.25">
      <c r="B14" s="353"/>
      <c r="C14" s="601" t="s">
        <v>111</v>
      </c>
      <c r="D14" s="601"/>
      <c r="E14" s="233">
        <v>60</v>
      </c>
      <c r="F14" s="362" t="s">
        <v>166</v>
      </c>
      <c r="G14" s="234">
        <v>0.3</v>
      </c>
      <c r="H14" s="606"/>
      <c r="I14" s="607"/>
      <c r="J14" s="355">
        <f>E14*G14</f>
        <v>18</v>
      </c>
      <c r="K14" s="361"/>
      <c r="L14" s="363" t="s">
        <v>326</v>
      </c>
      <c r="M14" s="416" t="s">
        <v>212</v>
      </c>
      <c r="N14" s="369" t="str">
        <f>IF(M14=M82,R82,IF(M14=M83,R83,R84))</f>
        <v>18-46-0</v>
      </c>
      <c r="O14" s="417">
        <v>415</v>
      </c>
      <c r="P14" s="370">
        <f>IF(M14=M82,(O14-2000*N82*P13)/(2000*P82),IF(M14=M83,(O14-2000*N83*P13)/(2000*P83),(O14-2000*N84*P13)/(2000*P84)))</f>
        <v>0.29796786389413987</v>
      </c>
      <c r="Q14" s="418">
        <v>125</v>
      </c>
      <c r="R14" s="371">
        <f>IF(M14=M82,Q14*P82,IF(M14=M83,Q14*P83,Q14*P84))</f>
        <v>57.5</v>
      </c>
      <c r="S14" s="371" t="s">
        <v>288</v>
      </c>
      <c r="T14" s="367">
        <f t="shared" ref="T14:T15" si="1">SUM(R14:S14)</f>
        <v>57.5</v>
      </c>
      <c r="U14" s="372"/>
      <c r="V14" s="372"/>
      <c r="W14" s="359"/>
    </row>
    <row r="15" spans="2:25" ht="12.95" customHeight="1" thickBot="1" x14ac:dyDescent="0.25">
      <c r="B15" s="353"/>
      <c r="C15" s="601" t="s">
        <v>112</v>
      </c>
      <c r="D15" s="601"/>
      <c r="E15" s="233">
        <v>55</v>
      </c>
      <c r="F15" s="362" t="s">
        <v>166</v>
      </c>
      <c r="G15" s="234">
        <v>0.3</v>
      </c>
      <c r="H15" s="608"/>
      <c r="I15" s="609"/>
      <c r="J15" s="355">
        <f t="shared" si="0"/>
        <v>16.5</v>
      </c>
      <c r="K15" s="361"/>
      <c r="L15" s="363" t="s">
        <v>327</v>
      </c>
      <c r="M15" s="416" t="s">
        <v>220</v>
      </c>
      <c r="N15" s="364" t="str">
        <f>IF(M15=M79,R79,R80)</f>
        <v>0-0-60</v>
      </c>
      <c r="O15" s="417">
        <v>330</v>
      </c>
      <c r="P15" s="365">
        <f>IF(M15=M79,O15/(2000*O79),O15/(2000*O80))</f>
        <v>0.27500000000000002</v>
      </c>
      <c r="Q15" s="418">
        <v>90</v>
      </c>
      <c r="R15" s="366">
        <f>IF(M15=M79,Q15*O79,Q15*O80)</f>
        <v>54</v>
      </c>
      <c r="S15" s="366" t="s">
        <v>288</v>
      </c>
      <c r="T15" s="367">
        <f t="shared" si="1"/>
        <v>54</v>
      </c>
      <c r="U15" s="372"/>
      <c r="V15" s="372"/>
      <c r="W15" s="359"/>
    </row>
    <row r="16" spans="2:25" ht="12.95" customHeight="1" x14ac:dyDescent="0.2">
      <c r="B16" s="353"/>
      <c r="C16" s="543" t="s">
        <v>97</v>
      </c>
      <c r="D16" s="549"/>
      <c r="E16" s="233">
        <v>0</v>
      </c>
      <c r="F16" s="362" t="s">
        <v>325</v>
      </c>
      <c r="G16" s="234">
        <v>0</v>
      </c>
      <c r="H16" s="373"/>
      <c r="I16" s="374"/>
      <c r="J16" s="355">
        <f>E16*G16</f>
        <v>0</v>
      </c>
      <c r="L16" s="245" t="s">
        <v>268</v>
      </c>
      <c r="M16" s="368"/>
      <c r="N16" s="375"/>
      <c r="O16" s="376"/>
      <c r="P16" s="377"/>
      <c r="Q16" s="377"/>
      <c r="R16" s="377"/>
      <c r="S16" s="377"/>
      <c r="T16" s="378"/>
      <c r="U16" s="378"/>
      <c r="V16" s="359"/>
    </row>
    <row r="17" spans="2:25" ht="12.95" customHeight="1" x14ac:dyDescent="0.2">
      <c r="B17" s="353"/>
      <c r="C17" s="543" t="s">
        <v>87</v>
      </c>
      <c r="D17" s="549"/>
      <c r="E17" s="246">
        <v>0.7</v>
      </c>
      <c r="F17" s="362" t="s">
        <v>316</v>
      </c>
      <c r="G17" s="234">
        <v>20</v>
      </c>
      <c r="H17" s="540"/>
      <c r="I17" s="540"/>
      <c r="J17" s="355">
        <f t="shared" si="0"/>
        <v>14</v>
      </c>
      <c r="K17" s="349"/>
      <c r="L17" s="245" t="str">
        <f>"The value of the Nitrogen in the "&amp;M14&amp; " fertilizer is being subtracted and added into the N Adjusted Units/Acre."</f>
        <v>The value of the Nitrogen in the DAP fertilizer is being subtracted and added into the N Adjusted Units/Acre.</v>
      </c>
      <c r="T17" s="359"/>
      <c r="U17" s="359"/>
      <c r="V17" s="359"/>
    </row>
    <row r="18" spans="2:25" ht="12.95" customHeight="1" x14ac:dyDescent="0.2">
      <c r="B18" s="353"/>
      <c r="C18" s="543" t="s">
        <v>59</v>
      </c>
      <c r="D18" s="549"/>
      <c r="E18" s="353">
        <v>1</v>
      </c>
      <c r="F18" s="353" t="s">
        <v>60</v>
      </c>
      <c r="G18" s="234">
        <v>80</v>
      </c>
      <c r="H18" s="540"/>
      <c r="I18" s="540"/>
      <c r="J18" s="355">
        <f t="shared" si="0"/>
        <v>80</v>
      </c>
      <c r="K18" s="349"/>
      <c r="L18" s="379"/>
    </row>
    <row r="19" spans="2:25" ht="12.95" customHeight="1" x14ac:dyDescent="0.2">
      <c r="B19" s="353"/>
      <c r="C19" s="543" t="s">
        <v>151</v>
      </c>
      <c r="D19" s="549"/>
      <c r="E19" s="353">
        <v>1</v>
      </c>
      <c r="F19" s="353" t="s">
        <v>60</v>
      </c>
      <c r="G19" s="234">
        <v>0</v>
      </c>
      <c r="H19" s="540"/>
      <c r="I19" s="540"/>
      <c r="J19" s="355">
        <f t="shared" si="0"/>
        <v>0</v>
      </c>
      <c r="K19" s="349"/>
      <c r="L19" s="349"/>
    </row>
    <row r="20" spans="2:25" ht="12.95" customHeight="1" thickBot="1" x14ac:dyDescent="0.25">
      <c r="B20" s="353"/>
      <c r="C20" s="553" t="s">
        <v>152</v>
      </c>
      <c r="D20" s="597"/>
      <c r="E20" s="353">
        <v>1</v>
      </c>
      <c r="F20" s="353" t="s">
        <v>60</v>
      </c>
      <c r="G20" s="234">
        <v>0</v>
      </c>
      <c r="H20" s="602"/>
      <c r="I20" s="603"/>
      <c r="J20" s="355">
        <f>E20*G20</f>
        <v>0</v>
      </c>
      <c r="K20" s="349"/>
      <c r="L20" s="379"/>
      <c r="M20" s="360"/>
      <c r="N20" s="360"/>
      <c r="O20" s="360"/>
      <c r="P20" s="349"/>
      <c r="Q20" s="349"/>
    </row>
    <row r="21" spans="2:25" ht="12.95" customHeight="1" x14ac:dyDescent="0.2">
      <c r="B21" s="353"/>
      <c r="C21" s="556" t="s">
        <v>86</v>
      </c>
      <c r="D21" s="558"/>
      <c r="E21" s="380">
        <v>1</v>
      </c>
      <c r="F21" s="380" t="s">
        <v>60</v>
      </c>
      <c r="G21" s="249">
        <v>0</v>
      </c>
      <c r="H21" s="568" t="s">
        <v>129</v>
      </c>
      <c r="I21" s="565" t="s">
        <v>51</v>
      </c>
      <c r="J21" s="381">
        <f>IF(I21=D61,'Machinery Calc (Non-GMO)'!U74,G21)</f>
        <v>15.143304378293985</v>
      </c>
      <c r="L21" s="379"/>
      <c r="M21" s="382"/>
      <c r="N21" s="379"/>
      <c r="O21" s="379"/>
      <c r="P21" s="349"/>
      <c r="Q21" s="349"/>
      <c r="R21" s="349"/>
      <c r="S21" s="349"/>
      <c r="T21" s="349"/>
      <c r="U21" s="349"/>
      <c r="V21" s="349"/>
      <c r="W21" s="349"/>
    </row>
    <row r="22" spans="2:25" ht="12.95" customHeight="1" x14ac:dyDescent="0.2">
      <c r="B22" s="353"/>
      <c r="C22" s="556" t="s">
        <v>8</v>
      </c>
      <c r="D22" s="558"/>
      <c r="E22" s="380">
        <v>1</v>
      </c>
      <c r="F22" s="380" t="s">
        <v>60</v>
      </c>
      <c r="G22" s="249">
        <v>0</v>
      </c>
      <c r="H22" s="569"/>
      <c r="I22" s="566"/>
      <c r="J22" s="381">
        <f>IF(I21=D61,'Machinery Calc (Non-GMO)'!X74,G22)</f>
        <v>29.892808309407584</v>
      </c>
      <c r="L22" s="382"/>
      <c r="M22" s="383"/>
      <c r="N22" s="360"/>
      <c r="O22" s="360"/>
      <c r="P22" s="349"/>
      <c r="Q22" s="349"/>
      <c r="R22" s="360"/>
      <c r="S22" s="349"/>
      <c r="T22" s="349"/>
      <c r="U22" s="349"/>
      <c r="V22" s="349"/>
      <c r="W22" s="349"/>
    </row>
    <row r="23" spans="2:25" ht="12.95" customHeight="1" x14ac:dyDescent="0.2">
      <c r="B23" s="353"/>
      <c r="C23" s="556" t="s">
        <v>71</v>
      </c>
      <c r="D23" s="558"/>
      <c r="E23" s="380">
        <v>1</v>
      </c>
      <c r="F23" s="380" t="s">
        <v>60</v>
      </c>
      <c r="G23" s="249">
        <v>0</v>
      </c>
      <c r="H23" s="569"/>
      <c r="I23" s="566"/>
      <c r="J23" s="381">
        <f>IF(I21=D61,'Machinery Calc (Non-GMO)'!W74,G23)</f>
        <v>0</v>
      </c>
      <c r="L23" s="383"/>
      <c r="M23" s="383"/>
      <c r="N23" s="360"/>
      <c r="O23" s="360"/>
    </row>
    <row r="24" spans="2:25" ht="12.95" customHeight="1" x14ac:dyDescent="0.2">
      <c r="B24" s="353"/>
      <c r="C24" s="556" t="s">
        <v>113</v>
      </c>
      <c r="D24" s="558"/>
      <c r="E24" s="380">
        <v>1</v>
      </c>
      <c r="F24" s="380" t="s">
        <v>60</v>
      </c>
      <c r="G24" s="249">
        <v>0</v>
      </c>
      <c r="H24" s="569"/>
      <c r="I24" s="566"/>
      <c r="J24" s="381">
        <f>IF(I21=D61,(IF('Machinery Calc (Non-GMO)'!B5='Machinery(Non-GMO)'!B49,'Machinery Calc (Non-GMO)'!V74,0)),G24)</f>
        <v>28.901872852171024</v>
      </c>
      <c r="K24" s="384"/>
      <c r="L24" s="383"/>
      <c r="M24" s="360"/>
      <c r="N24" s="360"/>
      <c r="O24" s="360"/>
    </row>
    <row r="25" spans="2:25" ht="12.95" customHeight="1" thickBot="1" x14ac:dyDescent="0.25">
      <c r="B25" s="353"/>
      <c r="C25" s="556" t="s">
        <v>50</v>
      </c>
      <c r="D25" s="557"/>
      <c r="E25" s="380">
        <v>1</v>
      </c>
      <c r="F25" s="380" t="s">
        <v>60</v>
      </c>
      <c r="G25" s="249">
        <v>0</v>
      </c>
      <c r="H25" s="570"/>
      <c r="I25" s="567"/>
      <c r="J25" s="381">
        <f>IF(I21=D61,'Machinery Calc (Non-GMO)'!Z74,E25*G25)</f>
        <v>0</v>
      </c>
      <c r="K25" s="348" t="s">
        <v>75</v>
      </c>
      <c r="L25" s="379"/>
      <c r="M25" s="360"/>
      <c r="N25" s="360"/>
      <c r="O25" s="360"/>
      <c r="S25" s="349"/>
    </row>
    <row r="26" spans="2:25" ht="12.95" customHeight="1" thickBot="1" x14ac:dyDescent="0.25">
      <c r="B26" s="353"/>
      <c r="C26" s="385" t="s">
        <v>241</v>
      </c>
      <c r="D26" s="419" t="s">
        <v>222</v>
      </c>
      <c r="E26" s="386">
        <v>1</v>
      </c>
      <c r="F26" s="362" t="s">
        <v>55</v>
      </c>
      <c r="G26" s="254">
        <v>0.25</v>
      </c>
      <c r="H26" s="564" t="s">
        <v>274</v>
      </c>
      <c r="I26" s="562">
        <v>50</v>
      </c>
      <c r="J26" s="355" t="str">
        <f>IF(I21=D60,E6*G26,IF(D26=C70,E6*G26,""))</f>
        <v/>
      </c>
      <c r="K26" s="384"/>
      <c r="L26" s="387" t="s">
        <v>321</v>
      </c>
      <c r="M26" s="360"/>
      <c r="N26" s="360"/>
      <c r="O26" s="360"/>
      <c r="S26" s="349"/>
    </row>
    <row r="27" spans="2:25" ht="12.95" customHeight="1" thickBot="1" x14ac:dyDescent="0.25">
      <c r="B27" s="388"/>
      <c r="C27" s="560" t="s">
        <v>244</v>
      </c>
      <c r="D27" s="561"/>
      <c r="E27" s="386">
        <v>1</v>
      </c>
      <c r="F27" s="362" t="s">
        <v>55</v>
      </c>
      <c r="G27" s="389">
        <f>'Machinery Calc (Non-GMO)'!AA81/E6</f>
        <v>0.20712744000337405</v>
      </c>
      <c r="H27" s="564"/>
      <c r="I27" s="563"/>
      <c r="J27" s="355" t="str">
        <f>IF(I21=D60,"",IF(D26=C71,IF(C27=C85,E6*G27,""),""))</f>
        <v/>
      </c>
      <c r="K27" s="384"/>
      <c r="L27" s="390" t="s">
        <v>287</v>
      </c>
      <c r="M27" s="360"/>
      <c r="N27" s="360"/>
      <c r="O27" s="360"/>
    </row>
    <row r="28" spans="2:25" ht="12.95" customHeight="1" x14ac:dyDescent="0.2">
      <c r="B28" s="353"/>
      <c r="C28" s="555" t="s">
        <v>77</v>
      </c>
      <c r="D28" s="545"/>
      <c r="E28" s="353">
        <v>1</v>
      </c>
      <c r="F28" s="353" t="s">
        <v>60</v>
      </c>
      <c r="G28" s="234">
        <v>0</v>
      </c>
      <c r="H28" s="541"/>
      <c r="I28" s="542"/>
      <c r="J28" s="355">
        <f>E28*G28</f>
        <v>0</v>
      </c>
      <c r="K28" s="348" t="s">
        <v>75</v>
      </c>
      <c r="L28" s="379"/>
      <c r="M28" s="360"/>
      <c r="N28" s="360"/>
      <c r="O28" s="360"/>
    </row>
    <row r="29" spans="2:25" ht="12.95" customHeight="1" thickBot="1" x14ac:dyDescent="0.25">
      <c r="B29" s="353"/>
      <c r="C29" s="543" t="s">
        <v>158</v>
      </c>
      <c r="D29" s="544"/>
      <c r="E29" s="353">
        <v>1</v>
      </c>
      <c r="F29" s="353" t="s">
        <v>85</v>
      </c>
      <c r="G29" s="234">
        <v>1.25</v>
      </c>
      <c r="H29" s="391" t="s">
        <v>123</v>
      </c>
      <c r="I29" s="259">
        <v>3</v>
      </c>
      <c r="J29" s="355">
        <f>(G29/54.5+0.005)*E6*I29</f>
        <v>13.576788990825689</v>
      </c>
      <c r="K29" s="392"/>
      <c r="L29" s="360"/>
      <c r="M29" s="360"/>
      <c r="N29" s="360"/>
      <c r="O29" s="360"/>
    </row>
    <row r="30" spans="2:25" ht="12.95" customHeight="1" thickBot="1" x14ac:dyDescent="0.25">
      <c r="B30" s="353"/>
      <c r="C30" s="393" t="s">
        <v>224</v>
      </c>
      <c r="D30" s="419" t="s">
        <v>238</v>
      </c>
      <c r="E30" s="394">
        <f>E6*I30</f>
        <v>81</v>
      </c>
      <c r="F30" s="362" t="s">
        <v>55</v>
      </c>
      <c r="G30" s="234">
        <v>0.2</v>
      </c>
      <c r="H30" s="391" t="s">
        <v>225</v>
      </c>
      <c r="I30" s="261">
        <v>0.5</v>
      </c>
      <c r="J30" s="355">
        <f>IF(D30=C66,E30*G30,'Storage(All)'!C22)</f>
        <v>16.2</v>
      </c>
      <c r="K30" s="392"/>
      <c r="L30" s="395" t="s">
        <v>248</v>
      </c>
      <c r="M30" s="396"/>
      <c r="N30" s="396"/>
      <c r="O30" s="397"/>
      <c r="P30" s="349"/>
      <c r="Q30" s="349"/>
      <c r="R30" s="349"/>
      <c r="S30" s="349"/>
      <c r="T30" s="349"/>
      <c r="U30" s="349"/>
      <c r="V30" s="349"/>
      <c r="W30" s="349"/>
      <c r="X30" s="349"/>
      <c r="Y30" s="349"/>
    </row>
    <row r="31" spans="2:25" ht="12.95" customHeight="1" thickBot="1" x14ac:dyDescent="0.25">
      <c r="B31" s="353"/>
      <c r="C31" s="553" t="s">
        <v>155</v>
      </c>
      <c r="D31" s="554"/>
      <c r="E31" s="353">
        <v>1</v>
      </c>
      <c r="F31" s="353" t="s">
        <v>60</v>
      </c>
      <c r="G31" s="234">
        <v>20</v>
      </c>
      <c r="H31" s="548"/>
      <c r="I31" s="548"/>
      <c r="J31" s="355">
        <f t="shared" si="0"/>
        <v>20</v>
      </c>
      <c r="L31" s="359"/>
      <c r="M31" s="360"/>
      <c r="N31" s="360"/>
      <c r="O31" s="360"/>
      <c r="P31" s="349"/>
      <c r="Q31" s="349"/>
      <c r="R31" s="349"/>
      <c r="S31" s="349"/>
      <c r="T31" s="349"/>
      <c r="U31" s="349"/>
      <c r="V31" s="349"/>
      <c r="W31" s="349"/>
      <c r="X31" s="349"/>
      <c r="Y31" s="349"/>
    </row>
    <row r="32" spans="2:25" ht="12.95" customHeight="1" thickBot="1" x14ac:dyDescent="0.25">
      <c r="B32" s="353"/>
      <c r="C32" s="393" t="s">
        <v>344</v>
      </c>
      <c r="D32" s="419" t="s">
        <v>252</v>
      </c>
      <c r="E32" s="386">
        <v>1</v>
      </c>
      <c r="F32" s="362" t="s">
        <v>60</v>
      </c>
      <c r="G32" s="234">
        <v>140</v>
      </c>
      <c r="H32" s="391" t="s">
        <v>240</v>
      </c>
      <c r="I32" s="261">
        <v>0.25</v>
      </c>
      <c r="J32" s="355">
        <f>IF(D32=C80,E32*G32,J6*I32)</f>
        <v>140</v>
      </c>
      <c r="L32" s="245" t="s">
        <v>247</v>
      </c>
      <c r="M32" s="396"/>
      <c r="N32" s="396"/>
      <c r="O32" s="397"/>
      <c r="P32" s="349"/>
      <c r="Q32" s="349"/>
      <c r="R32" s="349"/>
      <c r="S32" s="349"/>
      <c r="T32" s="349"/>
      <c r="U32" s="349"/>
      <c r="V32" s="349"/>
      <c r="W32" s="349"/>
      <c r="X32" s="349"/>
      <c r="Y32" s="349"/>
    </row>
    <row r="33" spans="2:25" ht="12.95" customHeight="1" x14ac:dyDescent="0.2">
      <c r="B33" s="353"/>
      <c r="C33" s="543" t="s">
        <v>349</v>
      </c>
      <c r="D33" s="545"/>
      <c r="E33" s="353">
        <v>1</v>
      </c>
      <c r="F33" s="362" t="s">
        <v>60</v>
      </c>
      <c r="G33" s="234">
        <v>0</v>
      </c>
      <c r="H33" s="546"/>
      <c r="I33" s="547"/>
      <c r="J33" s="355">
        <f>E33*G33</f>
        <v>0</v>
      </c>
      <c r="L33" s="245"/>
      <c r="M33" s="396"/>
      <c r="N33" s="396"/>
      <c r="O33" s="397"/>
      <c r="P33" s="349"/>
      <c r="Q33" s="349"/>
      <c r="R33" s="349"/>
      <c r="S33" s="349"/>
      <c r="T33" s="349"/>
      <c r="U33" s="349"/>
      <c r="V33" s="349"/>
      <c r="W33" s="349"/>
      <c r="X33" s="349"/>
      <c r="Y33" s="349"/>
    </row>
    <row r="34" spans="2:25" ht="12.95" customHeight="1" x14ac:dyDescent="0.2">
      <c r="B34" s="353"/>
      <c r="C34" s="543" t="s">
        <v>160</v>
      </c>
      <c r="D34" s="549"/>
      <c r="E34" s="353">
        <v>1</v>
      </c>
      <c r="F34" s="353" t="s">
        <v>60</v>
      </c>
      <c r="G34" s="234">
        <v>10</v>
      </c>
      <c r="H34" s="559"/>
      <c r="I34" s="559"/>
      <c r="J34" s="355">
        <f t="shared" si="0"/>
        <v>10</v>
      </c>
    </row>
    <row r="35" spans="2:25" ht="12.95" customHeight="1" x14ac:dyDescent="0.2">
      <c r="B35" s="353"/>
      <c r="C35" s="543" t="s">
        <v>61</v>
      </c>
      <c r="D35" s="549"/>
      <c r="E35" s="398">
        <f>SUM(J12:J34)-J29-J30-(SUM('Machinery Calc (Non-GMO)'!U47:U51,'Machinery Calc (Non-GMO)'!V47:V51,'Machinery Calc (Non-GMO)'!W47:W51,'Machinery Calc (Non-GMO)'!X47:X51,'Machinery Calc (Non-GMO)'!Z47:Z51))</f>
        <v>461.56610376633472</v>
      </c>
      <c r="F35" s="353" t="s">
        <v>62</v>
      </c>
      <c r="G35" s="265">
        <v>0.06</v>
      </c>
      <c r="H35" s="391" t="s">
        <v>81</v>
      </c>
      <c r="I35" s="266">
        <v>6</v>
      </c>
      <c r="J35" s="357">
        <f>E35*G35*(I35/12)</f>
        <v>13.84698311299004</v>
      </c>
    </row>
    <row r="36" spans="2:25" ht="12.95" customHeight="1" x14ac:dyDescent="0.2">
      <c r="B36" s="550" t="s">
        <v>63</v>
      </c>
      <c r="C36" s="551"/>
      <c r="D36" s="552"/>
      <c r="E36" s="353"/>
      <c r="F36" s="353"/>
      <c r="G36" s="353"/>
      <c r="H36" s="540"/>
      <c r="I36" s="540"/>
      <c r="J36" s="358">
        <f>SUM(J12:J35)</f>
        <v>544.86175764368841</v>
      </c>
    </row>
    <row r="37" spans="2:25" ht="7.5" customHeight="1" x14ac:dyDescent="0.2">
      <c r="B37" s="578"/>
      <c r="C37" s="579"/>
      <c r="D37" s="579"/>
      <c r="E37" s="579"/>
      <c r="F37" s="579"/>
      <c r="G37" s="579"/>
      <c r="H37" s="579"/>
      <c r="I37" s="579"/>
      <c r="J37" s="580"/>
    </row>
    <row r="38" spans="2:25" ht="15.75" x14ac:dyDescent="0.2">
      <c r="B38" s="572" t="s">
        <v>64</v>
      </c>
      <c r="C38" s="573"/>
      <c r="D38" s="573"/>
      <c r="E38" s="573"/>
      <c r="F38" s="573"/>
      <c r="G38" s="573"/>
      <c r="H38" s="573"/>
      <c r="I38" s="574"/>
      <c r="J38" s="399">
        <f>J9-J36</f>
        <v>108.13824235631159</v>
      </c>
    </row>
    <row r="39" spans="2:25" ht="7.5" customHeight="1" x14ac:dyDescent="0.2">
      <c r="B39" s="578"/>
      <c r="C39" s="579"/>
      <c r="D39" s="579"/>
      <c r="E39" s="579"/>
      <c r="F39" s="579"/>
      <c r="G39" s="579"/>
      <c r="H39" s="579"/>
      <c r="I39" s="579"/>
      <c r="J39" s="580"/>
    </row>
    <row r="40" spans="2:25" ht="12.95" customHeight="1" x14ac:dyDescent="0.2">
      <c r="B40" s="550" t="s">
        <v>65</v>
      </c>
      <c r="C40" s="551"/>
      <c r="D40" s="552"/>
      <c r="E40" s="572"/>
      <c r="F40" s="573"/>
      <c r="G40" s="573"/>
      <c r="H40" s="573"/>
      <c r="I40" s="573"/>
      <c r="J40" s="574"/>
    </row>
    <row r="41" spans="2:25" ht="12.95" customHeight="1" x14ac:dyDescent="0.2">
      <c r="B41" s="353"/>
      <c r="C41" s="556" t="s">
        <v>114</v>
      </c>
      <c r="D41" s="558"/>
      <c r="E41" s="380">
        <v>1</v>
      </c>
      <c r="F41" s="380" t="s">
        <v>60</v>
      </c>
      <c r="G41" s="249">
        <v>0</v>
      </c>
      <c r="H41" s="568" t="s">
        <v>91</v>
      </c>
      <c r="I41" s="588"/>
      <c r="J41" s="400">
        <f>IF(I21=D61,IF('Machinery Calc (Non-GMO)'!B5='Machinery(Non-GMO)'!B49,0,'Machinery Calc (Non-GMO)'!V74),G41)</f>
        <v>0</v>
      </c>
    </row>
    <row r="42" spans="2:25" ht="12.95" customHeight="1" x14ac:dyDescent="0.2">
      <c r="B42" s="353"/>
      <c r="C42" s="556" t="s">
        <v>72</v>
      </c>
      <c r="D42" s="558"/>
      <c r="E42" s="380">
        <v>1</v>
      </c>
      <c r="F42" s="380" t="s">
        <v>60</v>
      </c>
      <c r="G42" s="249">
        <v>0</v>
      </c>
      <c r="H42" s="589"/>
      <c r="I42" s="590"/>
      <c r="J42" s="400">
        <f>IF(I21=D61,'Machinery Calc (Non-GMO)'!Y74,G42)</f>
        <v>60.691459294857808</v>
      </c>
    </row>
    <row r="43" spans="2:25" ht="12.95" customHeight="1" x14ac:dyDescent="0.2">
      <c r="B43" s="353"/>
      <c r="C43" s="543" t="s">
        <v>76</v>
      </c>
      <c r="D43" s="549"/>
      <c r="E43" s="353">
        <v>1</v>
      </c>
      <c r="F43" s="353" t="s">
        <v>60</v>
      </c>
      <c r="G43" s="234">
        <v>5</v>
      </c>
      <c r="H43" s="540"/>
      <c r="I43" s="540"/>
      <c r="J43" s="355">
        <f>E43*G43</f>
        <v>5</v>
      </c>
    </row>
    <row r="44" spans="2:25" ht="12.95" customHeight="1" x14ac:dyDescent="0.2">
      <c r="B44" s="353"/>
      <c r="C44" s="543" t="s">
        <v>159</v>
      </c>
      <c r="D44" s="549"/>
      <c r="E44" s="353">
        <v>1</v>
      </c>
      <c r="F44" s="353" t="s">
        <v>60</v>
      </c>
      <c r="G44" s="234">
        <v>10</v>
      </c>
      <c r="H44" s="540"/>
      <c r="I44" s="540"/>
      <c r="J44" s="357">
        <f>E44*G44</f>
        <v>10</v>
      </c>
    </row>
    <row r="45" spans="2:25" ht="15.75" x14ac:dyDescent="0.2">
      <c r="B45" s="572" t="s">
        <v>66</v>
      </c>
      <c r="C45" s="573"/>
      <c r="D45" s="573"/>
      <c r="E45" s="573"/>
      <c r="F45" s="573"/>
      <c r="G45" s="573"/>
      <c r="H45" s="573"/>
      <c r="I45" s="574"/>
      <c r="J45" s="399">
        <f>J38-(SUM(J41:J44))</f>
        <v>32.446783061453786</v>
      </c>
      <c r="K45" s="348" t="s">
        <v>75</v>
      </c>
    </row>
    <row r="46" spans="2:25" ht="12.95" customHeight="1" x14ac:dyDescent="0.2">
      <c r="B46" s="578"/>
      <c r="C46" s="579"/>
      <c r="D46" s="579"/>
      <c r="E46" s="579"/>
      <c r="F46" s="579"/>
      <c r="G46" s="579"/>
      <c r="H46" s="579"/>
      <c r="I46" s="579"/>
      <c r="J46" s="580"/>
    </row>
    <row r="47" spans="2:25" ht="15.75" x14ac:dyDescent="0.2">
      <c r="B47" s="585" t="str">
        <f>"Breakeven Yield at " &amp; TEXT(G6,"$0.00") &amp;" /bushel"</f>
        <v>Breakeven Yield at $4.00 /bushel</v>
      </c>
      <c r="C47" s="586"/>
      <c r="D47" s="587"/>
      <c r="E47" s="401">
        <f>J36/G6</f>
        <v>136.2154394109221</v>
      </c>
      <c r="F47" s="575" t="s">
        <v>67</v>
      </c>
      <c r="G47" s="576"/>
      <c r="H47" s="576"/>
      <c r="I47" s="576"/>
      <c r="J47" s="577"/>
      <c r="K47" s="279"/>
      <c r="L47" s="279"/>
      <c r="M47" s="402"/>
      <c r="N47" s="402"/>
      <c r="O47" s="402"/>
    </row>
    <row r="48" spans="2:25" ht="15.75" x14ac:dyDescent="0.2">
      <c r="B48" s="585" t="str">
        <f>"Breakeven Cost at " &amp; ROUND(E6,0) &amp;" bu/acre"</f>
        <v>Breakeven Cost at 162 bu/acre</v>
      </c>
      <c r="C48" s="586"/>
      <c r="D48" s="587"/>
      <c r="E48" s="403">
        <f>J36/E6</f>
        <v>3.3633441829857311</v>
      </c>
      <c r="F48" s="575" t="s">
        <v>138</v>
      </c>
      <c r="G48" s="576"/>
      <c r="H48" s="576"/>
      <c r="I48" s="576"/>
      <c r="J48" s="577"/>
      <c r="K48" s="279"/>
      <c r="L48" s="279"/>
      <c r="M48" s="402"/>
      <c r="N48" s="402"/>
      <c r="O48" s="402"/>
    </row>
    <row r="49" spans="2:15" ht="15.75" x14ac:dyDescent="0.2">
      <c r="B49" s="585" t="str">
        <f>"Breakeven Cost at " &amp; ROUND(E6,0) &amp;" bu/acre"</f>
        <v>Breakeven Cost at 162 bu/acre</v>
      </c>
      <c r="C49" s="586"/>
      <c r="D49" s="587"/>
      <c r="E49" s="403">
        <f>(J36+SUM(J41:J44))/E6</f>
        <v>3.8305754132009029</v>
      </c>
      <c r="F49" s="575" t="s">
        <v>139</v>
      </c>
      <c r="G49" s="576"/>
      <c r="H49" s="576"/>
      <c r="I49" s="576"/>
      <c r="J49" s="577"/>
    </row>
    <row r="50" spans="2:15" x14ac:dyDescent="0.2">
      <c r="B50" s="581"/>
      <c r="C50" s="581"/>
      <c r="D50" s="581"/>
      <c r="E50" s="581"/>
      <c r="F50" s="581"/>
      <c r="G50" s="581"/>
      <c r="H50" s="581"/>
      <c r="I50" s="581"/>
      <c r="J50" s="581"/>
    </row>
    <row r="51" spans="2:15" x14ac:dyDescent="0.2">
      <c r="B51" s="584" t="s">
        <v>144</v>
      </c>
      <c r="C51" s="584"/>
      <c r="D51" s="584"/>
      <c r="E51" s="584"/>
      <c r="F51" s="584"/>
      <c r="G51" s="584"/>
      <c r="H51" s="584"/>
      <c r="I51" s="584"/>
      <c r="J51" s="584"/>
    </row>
    <row r="52" spans="2:15" ht="13.15" customHeight="1" x14ac:dyDescent="0.2">
      <c r="B52" s="582" t="s">
        <v>146</v>
      </c>
      <c r="C52" s="583"/>
      <c r="D52" s="583"/>
      <c r="E52" s="583"/>
      <c r="F52" s="583"/>
      <c r="G52" s="583"/>
      <c r="H52" s="583"/>
      <c r="I52" s="583"/>
      <c r="J52" s="583"/>
    </row>
    <row r="53" spans="2:15" ht="13.15" customHeight="1" x14ac:dyDescent="0.2">
      <c r="B53" s="582" t="s">
        <v>153</v>
      </c>
      <c r="C53" s="583"/>
      <c r="D53" s="583"/>
      <c r="E53" s="583"/>
      <c r="F53" s="583"/>
      <c r="G53" s="583"/>
      <c r="H53" s="583"/>
      <c r="I53" s="583"/>
      <c r="J53" s="583"/>
    </row>
    <row r="54" spans="2:15" ht="13.15" customHeight="1" x14ac:dyDescent="0.2">
      <c r="B54" s="582" t="s">
        <v>157</v>
      </c>
      <c r="C54" s="583"/>
      <c r="D54" s="583"/>
      <c r="E54" s="583"/>
      <c r="F54" s="583"/>
      <c r="G54" s="583"/>
      <c r="H54" s="583"/>
      <c r="I54" s="583"/>
      <c r="J54" s="583"/>
    </row>
    <row r="55" spans="2:15" x14ac:dyDescent="0.2">
      <c r="B55" s="582" t="s">
        <v>154</v>
      </c>
      <c r="C55" s="583"/>
      <c r="D55" s="583"/>
      <c r="E55" s="583"/>
      <c r="F55" s="583"/>
      <c r="G55" s="583"/>
      <c r="H55" s="583"/>
      <c r="I55" s="583"/>
      <c r="J55" s="583"/>
    </row>
    <row r="56" spans="2:15" x14ac:dyDescent="0.2">
      <c r="B56" s="583"/>
      <c r="C56" s="583"/>
      <c r="D56" s="583"/>
      <c r="E56" s="583"/>
      <c r="F56" s="583"/>
      <c r="G56" s="583"/>
      <c r="H56" s="583"/>
      <c r="I56" s="583"/>
      <c r="J56" s="583"/>
    </row>
    <row r="57" spans="2:15" x14ac:dyDescent="0.2">
      <c r="B57" s="350"/>
      <c r="C57" s="350"/>
      <c r="D57" s="350"/>
      <c r="E57" s="350"/>
      <c r="F57" s="350"/>
      <c r="G57" s="350"/>
      <c r="H57" s="350"/>
      <c r="I57" s="350"/>
      <c r="J57" s="350"/>
    </row>
    <row r="59" spans="2:15" ht="13.5" customHeight="1" x14ac:dyDescent="0.2"/>
    <row r="60" spans="2:15" ht="14.25" hidden="1" customHeight="1" x14ac:dyDescent="0.2">
      <c r="C60" s="348">
        <v>5</v>
      </c>
      <c r="D60" s="348" t="str">
        <f>'Machinery(Non-GMO)'!B50</f>
        <v>N</v>
      </c>
    </row>
    <row r="61" spans="2:15" hidden="1" x14ac:dyDescent="0.2">
      <c r="C61" s="348">
        <v>6</v>
      </c>
      <c r="D61" s="348" t="str">
        <f>'Machinery(Non-GMO)'!B49</f>
        <v>Y</v>
      </c>
    </row>
    <row r="62" spans="2:15" hidden="1" x14ac:dyDescent="0.2">
      <c r="C62" s="348">
        <v>7</v>
      </c>
      <c r="I62" s="279"/>
      <c r="M62" s="279"/>
      <c r="N62" s="348"/>
    </row>
    <row r="63" spans="2:15" hidden="1" x14ac:dyDescent="0.2">
      <c r="C63" s="348">
        <v>8</v>
      </c>
      <c r="M63" s="279"/>
      <c r="N63" s="348"/>
    </row>
    <row r="64" spans="2:15" hidden="1" x14ac:dyDescent="0.2">
      <c r="O64" s="402"/>
    </row>
    <row r="65" spans="3:18" hidden="1" x14ac:dyDescent="0.2">
      <c r="M65" s="402"/>
      <c r="N65" s="402"/>
      <c r="O65" s="402"/>
    </row>
    <row r="66" spans="3:18" hidden="1" x14ac:dyDescent="0.2">
      <c r="C66" s="279" t="s">
        <v>238</v>
      </c>
      <c r="M66" s="402"/>
      <c r="N66" s="402"/>
      <c r="O66" s="402"/>
    </row>
    <row r="67" spans="3:18" hidden="1" x14ac:dyDescent="0.2">
      <c r="C67" s="279" t="s">
        <v>249</v>
      </c>
      <c r="L67" s="279"/>
      <c r="M67" s="402"/>
      <c r="N67" s="402"/>
      <c r="O67" s="402"/>
    </row>
    <row r="68" spans="3:18" hidden="1" x14ac:dyDescent="0.2">
      <c r="L68" s="279"/>
      <c r="M68" s="402"/>
      <c r="N68" s="402"/>
      <c r="O68" s="402"/>
    </row>
    <row r="69" spans="3:18" hidden="1" x14ac:dyDescent="0.2"/>
    <row r="70" spans="3:18" hidden="1" x14ac:dyDescent="0.2">
      <c r="C70" s="279" t="s">
        <v>238</v>
      </c>
    </row>
    <row r="71" spans="3:18" hidden="1" x14ac:dyDescent="0.2">
      <c r="C71" s="404" t="str">
        <f>IF(I21=D60,"-","Calculate")</f>
        <v>Calculate</v>
      </c>
    </row>
    <row r="72" spans="3:18" ht="25.5" hidden="1" x14ac:dyDescent="0.2">
      <c r="M72" s="348"/>
      <c r="N72" s="279" t="s">
        <v>217</v>
      </c>
      <c r="O72" s="279" t="s">
        <v>218</v>
      </c>
      <c r="P72" s="279" t="s">
        <v>219</v>
      </c>
      <c r="Q72" s="279"/>
      <c r="R72" s="405" t="s">
        <v>195</v>
      </c>
    </row>
    <row r="73" spans="3:18" hidden="1" x14ac:dyDescent="0.2">
      <c r="C73" s="348" t="s">
        <v>375</v>
      </c>
      <c r="L73" s="571" t="s">
        <v>196</v>
      </c>
      <c r="M73" s="571"/>
      <c r="N73" s="406"/>
      <c r="O73" s="406"/>
      <c r="P73" s="406"/>
      <c r="Q73" s="406"/>
      <c r="R73" s="407"/>
    </row>
    <row r="74" spans="3:18" hidden="1" x14ac:dyDescent="0.2">
      <c r="C74" s="348" t="s">
        <v>376</v>
      </c>
      <c r="M74" s="279" t="s">
        <v>197</v>
      </c>
      <c r="N74" s="406">
        <v>0.46</v>
      </c>
      <c r="O74" s="406"/>
      <c r="P74" s="406"/>
      <c r="Q74" s="406"/>
      <c r="R74" s="408" t="s">
        <v>198</v>
      </c>
    </row>
    <row r="75" spans="3:18" hidden="1" x14ac:dyDescent="0.2">
      <c r="M75" s="279" t="s">
        <v>199</v>
      </c>
      <c r="N75" s="406">
        <v>0.82</v>
      </c>
      <c r="O75" s="406"/>
      <c r="P75" s="406"/>
      <c r="Q75" s="406"/>
      <c r="R75" s="408" t="s">
        <v>200</v>
      </c>
    </row>
    <row r="76" spans="3:18" hidden="1" x14ac:dyDescent="0.2">
      <c r="C76" s="279" t="s">
        <v>226</v>
      </c>
      <c r="H76" s="349"/>
      <c r="I76" s="349"/>
      <c r="M76" s="279" t="s">
        <v>201</v>
      </c>
      <c r="N76" s="406">
        <v>0.32</v>
      </c>
      <c r="O76" s="406"/>
      <c r="P76" s="406"/>
      <c r="Q76" s="406"/>
      <c r="R76" s="408" t="s">
        <v>202</v>
      </c>
    </row>
    <row r="77" spans="3:18" hidden="1" x14ac:dyDescent="0.2">
      <c r="C77" s="279" t="s">
        <v>230</v>
      </c>
      <c r="M77" s="279" t="s">
        <v>203</v>
      </c>
      <c r="N77" s="406">
        <v>0.28000000000000003</v>
      </c>
      <c r="O77" s="406"/>
      <c r="P77" s="406"/>
      <c r="Q77" s="406"/>
      <c r="R77" s="408" t="s">
        <v>204</v>
      </c>
    </row>
    <row r="78" spans="3:18" hidden="1" x14ac:dyDescent="0.2">
      <c r="C78" s="279" t="s">
        <v>231</v>
      </c>
      <c r="L78" s="571" t="s">
        <v>205</v>
      </c>
      <c r="M78" s="571"/>
      <c r="N78" s="406"/>
      <c r="O78" s="406"/>
      <c r="P78" s="406"/>
      <c r="Q78" s="406"/>
      <c r="R78" s="408"/>
    </row>
    <row r="79" spans="3:18" hidden="1" x14ac:dyDescent="0.2">
      <c r="M79" s="279" t="s">
        <v>220</v>
      </c>
      <c r="N79" s="406"/>
      <c r="O79" s="406">
        <v>0.6</v>
      </c>
      <c r="P79" s="406"/>
      <c r="Q79" s="406"/>
      <c r="R79" s="408" t="s">
        <v>206</v>
      </c>
    </row>
    <row r="80" spans="3:18" hidden="1" x14ac:dyDescent="0.2">
      <c r="C80" s="279" t="s">
        <v>252</v>
      </c>
      <c r="M80" s="279" t="s">
        <v>207</v>
      </c>
      <c r="N80" s="406"/>
      <c r="O80" s="406">
        <v>0.5</v>
      </c>
      <c r="P80" s="406"/>
      <c r="Q80" s="406"/>
      <c r="R80" s="408" t="s">
        <v>208</v>
      </c>
    </row>
    <row r="81" spans="3:18" hidden="1" x14ac:dyDescent="0.2">
      <c r="C81" s="279" t="s">
        <v>253</v>
      </c>
      <c r="L81" s="571" t="s">
        <v>209</v>
      </c>
      <c r="M81" s="571"/>
      <c r="N81" s="406"/>
      <c r="O81" s="406"/>
      <c r="P81" s="406"/>
      <c r="Q81" s="406"/>
      <c r="R81" s="409"/>
    </row>
    <row r="82" spans="3:18" hidden="1" x14ac:dyDescent="0.2">
      <c r="C82" s="279"/>
      <c r="M82" s="279" t="s">
        <v>210</v>
      </c>
      <c r="N82" s="406">
        <v>0.11</v>
      </c>
      <c r="O82" s="406"/>
      <c r="P82" s="406">
        <v>0.52</v>
      </c>
      <c r="Q82" s="406"/>
      <c r="R82" s="408" t="s">
        <v>211</v>
      </c>
    </row>
    <row r="83" spans="3:18" hidden="1" x14ac:dyDescent="0.2">
      <c r="M83" s="279" t="s">
        <v>212</v>
      </c>
      <c r="N83" s="406">
        <v>0.18</v>
      </c>
      <c r="O83" s="406"/>
      <c r="P83" s="406">
        <v>0.46</v>
      </c>
      <c r="Q83" s="406"/>
      <c r="R83" s="408" t="s">
        <v>213</v>
      </c>
    </row>
    <row r="84" spans="3:18" hidden="1" x14ac:dyDescent="0.2">
      <c r="C84" s="402" t="s">
        <v>244</v>
      </c>
      <c r="M84" s="279" t="s">
        <v>214</v>
      </c>
      <c r="N84" s="406">
        <v>0.1</v>
      </c>
      <c r="O84" s="406"/>
      <c r="P84" s="406">
        <v>0.34</v>
      </c>
      <c r="Q84" s="406"/>
      <c r="R84" s="408" t="s">
        <v>214</v>
      </c>
    </row>
    <row r="85" spans="3:18" hidden="1" x14ac:dyDescent="0.2">
      <c r="C85" s="279" t="s">
        <v>273</v>
      </c>
      <c r="L85" s="571" t="s">
        <v>215</v>
      </c>
      <c r="M85" s="571"/>
      <c r="N85" s="406"/>
      <c r="O85" s="406"/>
      <c r="P85" s="406"/>
      <c r="Q85" s="406"/>
      <c r="R85" s="410"/>
    </row>
    <row r="86" spans="3:18" hidden="1" x14ac:dyDescent="0.2">
      <c r="M86" s="279" t="s">
        <v>221</v>
      </c>
      <c r="N86" s="406">
        <v>0.19</v>
      </c>
      <c r="O86" s="406">
        <v>0.19</v>
      </c>
      <c r="P86" s="406">
        <v>0.19</v>
      </c>
      <c r="Q86" s="406"/>
      <c r="R86" s="408" t="s">
        <v>216</v>
      </c>
    </row>
    <row r="87" spans="3:18" hidden="1" x14ac:dyDescent="0.2">
      <c r="C87" s="411" t="str">
        <f>IF(D26=C70,C85,C27)</f>
        <v>Include Trucking in Machinery Costs</v>
      </c>
      <c r="M87" s="348"/>
      <c r="N87" s="348"/>
      <c r="O87" s="348"/>
    </row>
    <row r="88" spans="3:18" hidden="1" x14ac:dyDescent="0.2">
      <c r="O88" s="412"/>
    </row>
    <row r="89" spans="3:18" hidden="1" x14ac:dyDescent="0.2">
      <c r="C89" s="279" t="s">
        <v>374</v>
      </c>
      <c r="O89" s="402"/>
    </row>
    <row r="90" spans="3:18" hidden="1" x14ac:dyDescent="0.2">
      <c r="C90" s="279" t="s">
        <v>270</v>
      </c>
      <c r="O90" s="402"/>
    </row>
    <row r="91" spans="3:18" hidden="1" x14ac:dyDescent="0.2">
      <c r="C91" s="279" t="s">
        <v>377</v>
      </c>
      <c r="H91" s="349"/>
      <c r="I91" s="349"/>
      <c r="J91" s="349"/>
    </row>
    <row r="92" spans="3:18" hidden="1" x14ac:dyDescent="0.2">
      <c r="C92" s="279" t="s">
        <v>272</v>
      </c>
      <c r="H92" s="349"/>
      <c r="I92" s="349"/>
      <c r="J92" s="349"/>
    </row>
    <row r="93" spans="3:18" hidden="1" x14ac:dyDescent="0.2"/>
    <row r="94" spans="3:18" hidden="1" x14ac:dyDescent="0.2"/>
    <row r="95" spans="3:18" hidden="1" x14ac:dyDescent="0.2">
      <c r="C95" s="411" t="str">
        <f>IF(I21=D60,C70,D26)</f>
        <v>Calculate</v>
      </c>
    </row>
    <row r="96" spans="3:18" hidden="1" x14ac:dyDescent="0.2"/>
    <row r="97" spans="3:15" hidden="1" x14ac:dyDescent="0.2">
      <c r="C97" s="279" t="s">
        <v>452</v>
      </c>
      <c r="D97" s="413"/>
      <c r="E97" s="413"/>
      <c r="F97" s="413"/>
      <c r="G97" s="413"/>
      <c r="H97" s="413"/>
      <c r="I97" s="413"/>
      <c r="J97" s="413"/>
      <c r="K97" s="413"/>
      <c r="L97" s="413"/>
      <c r="M97" s="413"/>
      <c r="N97" s="414"/>
      <c r="O97" s="414"/>
    </row>
    <row r="98" spans="3:15" hidden="1" x14ac:dyDescent="0.2">
      <c r="C98" s="415" t="s">
        <v>453</v>
      </c>
      <c r="D98" s="414"/>
      <c r="E98" s="414"/>
      <c r="F98" s="414"/>
      <c r="G98" s="414"/>
      <c r="H98" s="414"/>
      <c r="I98" s="414"/>
      <c r="J98" s="414"/>
      <c r="K98" s="414"/>
      <c r="L98" s="414"/>
      <c r="M98" s="414"/>
      <c r="N98" s="414"/>
      <c r="O98" s="414"/>
    </row>
    <row r="99" spans="3:15" ht="12.75" customHeight="1" x14ac:dyDescent="0.2">
      <c r="C99" s="414"/>
      <c r="D99" s="414"/>
      <c r="E99" s="414"/>
      <c r="F99" s="414"/>
      <c r="G99" s="414"/>
      <c r="H99" s="414"/>
      <c r="I99" s="414"/>
      <c r="J99" s="414"/>
      <c r="K99" s="414"/>
      <c r="L99" s="414"/>
      <c r="M99" s="414"/>
      <c r="N99" s="414"/>
      <c r="O99" s="414"/>
    </row>
    <row r="100" spans="3:15" x14ac:dyDescent="0.2">
      <c r="C100" s="414"/>
      <c r="D100" s="414"/>
      <c r="E100" s="414"/>
      <c r="F100" s="414"/>
      <c r="G100" s="414"/>
      <c r="H100" s="414"/>
      <c r="I100" s="414"/>
      <c r="J100" s="414"/>
      <c r="K100" s="414"/>
      <c r="L100" s="414"/>
      <c r="M100" s="414"/>
      <c r="N100" s="414"/>
      <c r="O100" s="414"/>
    </row>
    <row r="101" spans="3:15" x14ac:dyDescent="0.2">
      <c r="D101" s="414"/>
      <c r="E101" s="414"/>
      <c r="F101" s="414"/>
      <c r="G101" s="414"/>
      <c r="H101" s="414"/>
      <c r="I101" s="414"/>
      <c r="J101" s="414"/>
      <c r="K101" s="414"/>
      <c r="L101" s="414"/>
      <c r="M101" s="414"/>
      <c r="N101" s="414"/>
      <c r="O101" s="414"/>
    </row>
    <row r="102" spans="3:15" x14ac:dyDescent="0.2">
      <c r="D102" s="414"/>
      <c r="E102" s="414"/>
      <c r="F102" s="414"/>
      <c r="G102" s="414"/>
      <c r="H102" s="414"/>
      <c r="I102" s="414"/>
      <c r="J102" s="414"/>
      <c r="K102" s="414"/>
      <c r="L102" s="414"/>
      <c r="M102" s="414"/>
      <c r="N102" s="414"/>
      <c r="O102" s="414"/>
    </row>
    <row r="103" spans="3:15" x14ac:dyDescent="0.2">
      <c r="D103" s="414"/>
      <c r="E103" s="414"/>
      <c r="F103" s="414"/>
      <c r="G103" s="414"/>
      <c r="H103" s="414"/>
      <c r="I103" s="414"/>
      <c r="J103" s="414"/>
      <c r="K103" s="414"/>
      <c r="L103" s="414"/>
      <c r="M103" s="414"/>
      <c r="N103" s="414"/>
      <c r="O103" s="414"/>
    </row>
    <row r="104" spans="3:15" x14ac:dyDescent="0.2">
      <c r="D104" s="414"/>
      <c r="E104" s="414"/>
      <c r="F104" s="414"/>
      <c r="G104" s="414"/>
      <c r="H104" s="414"/>
      <c r="I104" s="414"/>
      <c r="J104" s="414"/>
      <c r="K104" s="414"/>
      <c r="L104" s="414"/>
      <c r="M104" s="414"/>
      <c r="N104" s="414"/>
      <c r="O104" s="414"/>
    </row>
    <row r="105" spans="3:15" x14ac:dyDescent="0.2">
      <c r="D105" s="414"/>
      <c r="E105" s="414"/>
      <c r="F105" s="414"/>
      <c r="G105" s="414"/>
      <c r="H105" s="414"/>
      <c r="I105" s="414"/>
      <c r="J105" s="414"/>
      <c r="K105" s="414"/>
      <c r="L105" s="414"/>
      <c r="M105" s="414"/>
      <c r="N105" s="414"/>
      <c r="O105" s="414"/>
    </row>
    <row r="106" spans="3:15" x14ac:dyDescent="0.2">
      <c r="D106" s="414"/>
      <c r="E106" s="414"/>
      <c r="F106" s="414"/>
      <c r="G106" s="414"/>
      <c r="H106" s="414"/>
      <c r="I106" s="414"/>
      <c r="J106" s="414"/>
      <c r="K106" s="414"/>
      <c r="L106" s="414"/>
      <c r="M106" s="414"/>
      <c r="N106" s="414"/>
      <c r="O106" s="414"/>
    </row>
  </sheetData>
  <sheetProtection algorithmName="SHA-512" hashValue="CzAAOijtfqj6Y93C65cuzcPTMmPbst9P19ClfGxZheH59Vo1qRNt6LpvYpeqoy7PTUtrM8VpbFyMjpJoKFwVpw==" saltValue="U+uGrH/VYU/zBPKQOl0Ptw==" spinCount="100000" sheet="1" objects="1" scenarios="1" formatCells="0" formatColumns="0" formatRows="0"/>
  <mergeCells count="94">
    <mergeCell ref="C6:D6"/>
    <mergeCell ref="H6:I6"/>
    <mergeCell ref="B2:J2"/>
    <mergeCell ref="B3:J3"/>
    <mergeCell ref="B4:D4"/>
    <mergeCell ref="H4:I4"/>
    <mergeCell ref="E5:J5"/>
    <mergeCell ref="C7:D7"/>
    <mergeCell ref="H7:I7"/>
    <mergeCell ref="C8:D8"/>
    <mergeCell ref="H8:I8"/>
    <mergeCell ref="B9:D9"/>
    <mergeCell ref="H9:I9"/>
    <mergeCell ref="B10:J10"/>
    <mergeCell ref="B11:D11"/>
    <mergeCell ref="E11:J11"/>
    <mergeCell ref="L11:M12"/>
    <mergeCell ref="N11:N12"/>
    <mergeCell ref="C19:D19"/>
    <mergeCell ref="H19:I19"/>
    <mergeCell ref="V11:V12"/>
    <mergeCell ref="C12:D12"/>
    <mergeCell ref="H12:I12"/>
    <mergeCell ref="C13:D13"/>
    <mergeCell ref="H13:I15"/>
    <mergeCell ref="C14:D14"/>
    <mergeCell ref="C15:D15"/>
    <mergeCell ref="P11:P12"/>
    <mergeCell ref="Q11:Q12"/>
    <mergeCell ref="R11:R12"/>
    <mergeCell ref="S11:S12"/>
    <mergeCell ref="T11:T12"/>
    <mergeCell ref="U11:U12"/>
    <mergeCell ref="O11:O12"/>
    <mergeCell ref="C16:D16"/>
    <mergeCell ref="C17:D17"/>
    <mergeCell ref="H17:I17"/>
    <mergeCell ref="C18:D18"/>
    <mergeCell ref="H18:I18"/>
    <mergeCell ref="C29:D29"/>
    <mergeCell ref="C20:D20"/>
    <mergeCell ref="H20:I20"/>
    <mergeCell ref="C21:D21"/>
    <mergeCell ref="H21:H25"/>
    <mergeCell ref="I21:I25"/>
    <mergeCell ref="C22:D22"/>
    <mergeCell ref="C23:D23"/>
    <mergeCell ref="C24:D24"/>
    <mergeCell ref="C25:D25"/>
    <mergeCell ref="H26:H27"/>
    <mergeCell ref="I26:I27"/>
    <mergeCell ref="C27:D27"/>
    <mergeCell ref="C28:D28"/>
    <mergeCell ref="H28:I28"/>
    <mergeCell ref="C31:D31"/>
    <mergeCell ref="H31:I31"/>
    <mergeCell ref="C33:D33"/>
    <mergeCell ref="H33:I33"/>
    <mergeCell ref="C34:D34"/>
    <mergeCell ref="H34:I34"/>
    <mergeCell ref="C43:D43"/>
    <mergeCell ref="H43:I43"/>
    <mergeCell ref="C35:D35"/>
    <mergeCell ref="B36:D36"/>
    <mergeCell ref="H36:I36"/>
    <mergeCell ref="B37:J37"/>
    <mergeCell ref="B38:I38"/>
    <mergeCell ref="B39:J39"/>
    <mergeCell ref="B40:D40"/>
    <mergeCell ref="E40:J40"/>
    <mergeCell ref="C41:D41"/>
    <mergeCell ref="H41:I42"/>
    <mergeCell ref="C42:D42"/>
    <mergeCell ref="B51:J51"/>
    <mergeCell ref="C44:D44"/>
    <mergeCell ref="H44:I44"/>
    <mergeCell ref="B45:I45"/>
    <mergeCell ref="B46:J46"/>
    <mergeCell ref="B47:D47"/>
    <mergeCell ref="F47:J47"/>
    <mergeCell ref="B48:D48"/>
    <mergeCell ref="F48:J48"/>
    <mergeCell ref="B49:D49"/>
    <mergeCell ref="F49:J49"/>
    <mergeCell ref="B50:J50"/>
    <mergeCell ref="L78:M78"/>
    <mergeCell ref="L81:M81"/>
    <mergeCell ref="L85:M85"/>
    <mergeCell ref="B52:J52"/>
    <mergeCell ref="B53:J53"/>
    <mergeCell ref="B54:J54"/>
    <mergeCell ref="B55:J55"/>
    <mergeCell ref="B56:J56"/>
    <mergeCell ref="L73:M73"/>
  </mergeCells>
  <conditionalFormatting sqref="E30:G30">
    <cfRule type="expression" dxfId="66" priority="1">
      <formula>$D$30=$C$67</formula>
    </cfRule>
  </conditionalFormatting>
  <conditionalFormatting sqref="E26:G26">
    <cfRule type="expression" dxfId="65" priority="2">
      <formula>$C$95=$C$71</formula>
    </cfRule>
  </conditionalFormatting>
  <conditionalFormatting sqref="C27:G27 H26:I27">
    <cfRule type="expression" dxfId="64" priority="3">
      <formula>$D$26=$C$70</formula>
    </cfRule>
  </conditionalFormatting>
  <conditionalFormatting sqref="E32:G32">
    <cfRule type="expression" dxfId="63" priority="4">
      <formula>$D$32=$C$81</formula>
    </cfRule>
  </conditionalFormatting>
  <conditionalFormatting sqref="H32:I32">
    <cfRule type="expression" dxfId="62" priority="5">
      <formula>$D$32=$C$80</formula>
    </cfRule>
  </conditionalFormatting>
  <conditionalFormatting sqref="E41:G42 E21:G25">
    <cfRule type="expression" dxfId="61" priority="6">
      <formula>$I$21=$D$61</formula>
    </cfRule>
  </conditionalFormatting>
  <conditionalFormatting sqref="C27:G27 H26:I27 J27">
    <cfRule type="expression" dxfId="60" priority="7">
      <formula>$I$21=$D$60</formula>
    </cfRule>
  </conditionalFormatting>
  <dataValidations count="9">
    <dataValidation type="list" allowBlank="1" showInputMessage="1" showErrorMessage="1" sqref="M13">
      <formula1>$M$74:$M$77</formula1>
    </dataValidation>
    <dataValidation type="list" allowBlank="1" showInputMessage="1" showErrorMessage="1" sqref="M14">
      <formula1>$M$82:$M$84</formula1>
    </dataValidation>
    <dataValidation type="list" allowBlank="1" showInputMessage="1" showErrorMessage="1" sqref="M15">
      <formula1>$M$79:$M$80</formula1>
    </dataValidation>
    <dataValidation type="list" allowBlank="1" showInputMessage="1" showErrorMessage="1" sqref="D30">
      <formula1>$C$66:$C$67</formula1>
    </dataValidation>
    <dataValidation type="list" allowBlank="1" showInputMessage="1" showErrorMessage="1" sqref="D26">
      <formula1>$C$70:$C$71</formula1>
    </dataValidation>
    <dataValidation type="list" allowBlank="1" showInputMessage="1" showErrorMessage="1" sqref="D32">
      <formula1>$C$80:$C$81</formula1>
    </dataValidation>
    <dataValidation type="list" allowBlank="1" showInputMessage="1" showErrorMessage="1" sqref="C27">
      <formula1>$C$84:$C$85</formula1>
    </dataValidation>
    <dataValidation type="list" allowBlank="1" showInputMessage="1" showErrorMessage="1" sqref="I21">
      <formula1>$D$60:$D$61</formula1>
    </dataValidation>
    <dataValidation type="list" allowBlank="1" showInputMessage="1" showErrorMessage="1" sqref="I35">
      <formula1>$C$60:$C$63</formula1>
    </dataValidation>
  </dataValidations>
  <pageMargins left="0.75" right="0.75" top="1" bottom="1" header="0.5" footer="0.5"/>
  <pageSetup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vt:lpstr>
      <vt:lpstr>Instructions</vt:lpstr>
      <vt:lpstr>GMO</vt:lpstr>
      <vt:lpstr>Machinery(GMO)</vt:lpstr>
      <vt:lpstr>Machinery Calc (GMO)</vt:lpstr>
      <vt:lpstr>Heirloom</vt:lpstr>
      <vt:lpstr>Machinery(Heirloom)</vt:lpstr>
      <vt:lpstr>Machinery Calc (Heirloom)</vt:lpstr>
      <vt:lpstr>Non-GMO</vt:lpstr>
      <vt:lpstr>Machinery(Non-GMO)</vt:lpstr>
      <vt:lpstr>Machinery Calc (Non-GMO)</vt:lpstr>
      <vt:lpstr>Trucking</vt:lpstr>
      <vt:lpstr>Storage(All)</vt:lpstr>
      <vt:lpstr>Summary(All)</vt:lpstr>
      <vt:lpstr>Summary(GMO)</vt:lpstr>
      <vt:lpstr>Soybeans</vt:lpstr>
      <vt:lpstr>Machinery(Soybeans)</vt:lpstr>
      <vt:lpstr>Machinery Calculations (SB)</vt:lpstr>
      <vt:lpstr>Summary(Soybeans)</vt:lpstr>
      <vt:lpstr>SensitivityTableNotes</vt:lpstr>
      <vt:lpstr>2020Notes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Samantha Kindred</cp:lastModifiedBy>
  <cp:lastPrinted>2020-10-15T19:20:55Z</cp:lastPrinted>
  <dcterms:created xsi:type="dcterms:W3CDTF">2003-09-21T12:28:39Z</dcterms:created>
  <dcterms:modified xsi:type="dcterms:W3CDTF">2021-04-29T18:02:12Z</dcterms:modified>
</cp:coreProperties>
</file>