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autoCompressPictures="0" defaultThemeVersion="124226"/>
  <mc:AlternateContent xmlns:mc="http://schemas.openxmlformats.org/markup-compatibility/2006">
    <mc:Choice Requires="x15">
      <x15ac:absPath xmlns:x15ac="http://schemas.microsoft.com/office/spreadsheetml/2010/11/ac" url="https://luky-my.sharepoint.com/personal/ncat223_uky_edu/Documents/Downloads/"/>
    </mc:Choice>
  </mc:AlternateContent>
  <xr:revisionPtr revIDLastSave="0" documentId="8_{27E92144-D09A-43E3-AE37-37CACD241E6B}" xr6:coauthVersionLast="47" xr6:coauthVersionMax="47" xr10:uidLastSave="{00000000-0000-0000-0000-000000000000}"/>
  <workbookProtection workbookAlgorithmName="SHA-512" workbookHashValue="Nb5bB+XUwxdqieIXuP2zamLqcQhooe15nEyFiYmzLvUz2FQ+U2wMlKD42MFlAAD/d5bIuCP5HwHOuL3HBr+f5Q==" workbookSaltValue="0J1MdsEqFtHwrxvQ7CoqYg==" workbookSpinCount="100000" lockStructure="1"/>
  <bookViews>
    <workbookView xWindow="75480" yWindow="-120" windowWidth="25440" windowHeight="15270" tabRatio="880" activeTab="1" xr2:uid="{00000000-000D-0000-FFFF-FFFF00000000}"/>
  </bookViews>
  <sheets>
    <sheet name="Cover" sheetId="28" r:id="rId1"/>
    <sheet name="Production Data" sheetId="2" r:id="rId2"/>
    <sheet name="Processing" sheetId="19" r:id="rId3"/>
    <sheet name="Transportation" sheetId="25" r:id="rId4"/>
    <sheet name="Depreciable Items" sheetId="10" r:id="rId5"/>
    <sheet name="Summary" sheetId="3" r:id="rId6"/>
    <sheet name="Drop Down Lists" sheetId="24" state="hidden" r:id="rId7"/>
    <sheet name="Notes for Changes" sheetId="29" state="hidden" r:id="rId8"/>
    <sheet name="Feed Intake" sheetId="16" state="hidden" r:id="rId9"/>
    <sheet name="Sheet1" sheetId="30" state="hidden" r:id="rId10"/>
    <sheet name="Feed Conversion" sheetId="13" state="hidden" r:id="rId11"/>
    <sheet name="Production Q's" sheetId="27" state="hidden" r:id="rId12"/>
  </sheets>
  <calcPr calcId="191029"/>
  <customWorkbookViews>
    <customWorkbookView name="Samantha Kindred - Personal View" guid="{02D6CAA4-1939-49F0-A08C-119793CA9847}" mergeInterval="0" personalView="1" maximized="1" windowWidth="1362" windowHeight="542" tabRatio="88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2" i="19" l="1"/>
  <c r="D127" i="2"/>
  <c r="H52" i="2" s="1"/>
  <c r="F5" i="3"/>
  <c r="AK18" i="10" s="1"/>
  <c r="E6" i="19"/>
  <c r="H26" i="19"/>
  <c r="H22" i="19"/>
  <c r="B130" i="2"/>
  <c r="H48" i="2" s="1"/>
  <c r="F7" i="3" s="1"/>
  <c r="H27" i="19"/>
  <c r="E31" i="19"/>
  <c r="F33" i="3" s="1"/>
  <c r="G31" i="19"/>
  <c r="H33" i="3" s="1"/>
  <c r="I28" i="19"/>
  <c r="E32" i="19"/>
  <c r="H32" i="19"/>
  <c r="B15" i="24"/>
  <c r="K7" i="3"/>
  <c r="C55" i="16"/>
  <c r="D55" i="16" s="1"/>
  <c r="E55" i="16" s="1"/>
  <c r="H22" i="3"/>
  <c r="F6" i="3"/>
  <c r="H12" i="25"/>
  <c r="H13" i="19"/>
  <c r="H16" i="19"/>
  <c r="H17" i="19" s="1"/>
  <c r="L56" i="25"/>
  <c r="F32" i="3"/>
  <c r="H32" i="3"/>
  <c r="J32" i="3"/>
  <c r="F21" i="3"/>
  <c r="G31" i="2"/>
  <c r="G32" i="2"/>
  <c r="H21" i="3"/>
  <c r="H23" i="3"/>
  <c r="J23" i="3"/>
  <c r="F25" i="3"/>
  <c r="K28" i="3"/>
  <c r="K29" i="3"/>
  <c r="K30" i="3"/>
  <c r="E76" i="2"/>
  <c r="D76" i="2" s="1"/>
  <c r="C69" i="3"/>
  <c r="F31" i="3"/>
  <c r="H31" i="3"/>
  <c r="J31" i="3"/>
  <c r="G63" i="2"/>
  <c r="F34" i="3"/>
  <c r="H34" i="3"/>
  <c r="L18" i="10"/>
  <c r="L21" i="10"/>
  <c r="L19" i="10"/>
  <c r="M19" i="10"/>
  <c r="G20" i="10"/>
  <c r="J20" i="10"/>
  <c r="K20" i="10"/>
  <c r="L20" i="10"/>
  <c r="M20" i="10"/>
  <c r="G22" i="10"/>
  <c r="J22" i="10"/>
  <c r="K22" i="10"/>
  <c r="L22" i="10"/>
  <c r="B27" i="24"/>
  <c r="G16" i="10"/>
  <c r="J16" i="10"/>
  <c r="K16" i="10"/>
  <c r="L16" i="10"/>
  <c r="M16" i="10"/>
  <c r="G11" i="10"/>
  <c r="J11" i="10"/>
  <c r="L11" i="10" s="1"/>
  <c r="K11" i="10"/>
  <c r="G12" i="10"/>
  <c r="G13" i="10"/>
  <c r="J13" i="10"/>
  <c r="K13" i="10"/>
  <c r="L13" i="10"/>
  <c r="M13" i="10" s="1"/>
  <c r="G14" i="10"/>
  <c r="J14" i="10"/>
  <c r="L14" i="10" s="1"/>
  <c r="M14" i="10" s="1"/>
  <c r="K14" i="10"/>
  <c r="L15" i="10"/>
  <c r="G17" i="10"/>
  <c r="J17" i="10"/>
  <c r="K17" i="10"/>
  <c r="L17" i="10"/>
  <c r="M17" i="10"/>
  <c r="J23" i="10"/>
  <c r="K23" i="10"/>
  <c r="L23" i="10"/>
  <c r="M23" i="10"/>
  <c r="H44" i="3"/>
  <c r="J44" i="3"/>
  <c r="L36" i="10"/>
  <c r="M36" i="10" s="1"/>
  <c r="G37" i="10"/>
  <c r="J37" i="10"/>
  <c r="L37" i="10" s="1"/>
  <c r="M37" i="10" s="1"/>
  <c r="K37" i="10"/>
  <c r="G29" i="10"/>
  <c r="J29" i="10"/>
  <c r="K29" i="10"/>
  <c r="L29" i="10"/>
  <c r="M29" i="10"/>
  <c r="G30" i="10"/>
  <c r="K30" i="10" s="1"/>
  <c r="J30" i="10"/>
  <c r="G31" i="10"/>
  <c r="J31" i="10"/>
  <c r="K31" i="10"/>
  <c r="L31" i="10"/>
  <c r="G32" i="10"/>
  <c r="J32" i="10"/>
  <c r="K32" i="10"/>
  <c r="G33" i="10"/>
  <c r="K33" i="10" s="1"/>
  <c r="J33" i="10"/>
  <c r="L33" i="10" s="1"/>
  <c r="M33" i="10" s="1"/>
  <c r="G34" i="10"/>
  <c r="J34" i="10"/>
  <c r="K34" i="10"/>
  <c r="L34" i="10"/>
  <c r="M34" i="10"/>
  <c r="G35" i="10"/>
  <c r="J35" i="10"/>
  <c r="K35" i="10"/>
  <c r="L35" i="10"/>
  <c r="M35" i="10" s="1"/>
  <c r="J38" i="10"/>
  <c r="K38" i="10"/>
  <c r="L38" i="10"/>
  <c r="M38" i="10"/>
  <c r="K8" i="3"/>
  <c r="F14" i="3"/>
  <c r="I14" i="3"/>
  <c r="F15" i="3"/>
  <c r="I15" i="3"/>
  <c r="G22" i="3"/>
  <c r="G18" i="10"/>
  <c r="J18" i="10"/>
  <c r="K18" i="10"/>
  <c r="G40" i="10"/>
  <c r="G36" i="10"/>
  <c r="G24" i="10"/>
  <c r="G21" i="10"/>
  <c r="G19" i="10"/>
  <c r="G15" i="10"/>
  <c r="B56" i="3"/>
  <c r="B55" i="3"/>
  <c r="B53" i="3"/>
  <c r="H41" i="2"/>
  <c r="B41" i="2"/>
  <c r="G15" i="2"/>
  <c r="E20" i="2"/>
  <c r="E21" i="2"/>
  <c r="H40" i="2"/>
  <c r="B40" i="2"/>
  <c r="C46" i="16"/>
  <c r="D46" i="16" s="1"/>
  <c r="E46" i="16" s="1"/>
  <c r="F72" i="2" s="1"/>
  <c r="L72" i="2" s="1"/>
  <c r="C47" i="16"/>
  <c r="D47" i="16"/>
  <c r="E47" i="16" s="1"/>
  <c r="C48" i="16"/>
  <c r="D48" i="16" s="1"/>
  <c r="E48" i="16" s="1"/>
  <c r="C49" i="16"/>
  <c r="D49" i="16"/>
  <c r="E49" i="16" s="1"/>
  <c r="C45" i="16"/>
  <c r="D45" i="16" s="1"/>
  <c r="E45" i="16" s="1"/>
  <c r="H42" i="25"/>
  <c r="H30" i="2"/>
  <c r="H32" i="2"/>
  <c r="Q24" i="25"/>
  <c r="Q27" i="25" s="1"/>
  <c r="M26" i="25"/>
  <c r="G37" i="25"/>
  <c r="H37" i="25"/>
  <c r="G41" i="25"/>
  <c r="G40" i="25"/>
  <c r="E40" i="25"/>
  <c r="H40" i="25" s="1"/>
  <c r="C58" i="25"/>
  <c r="H31" i="25" s="1"/>
  <c r="G49" i="2"/>
  <c r="G56" i="2" s="1"/>
  <c r="G57" i="2" s="1"/>
  <c r="G53" i="2"/>
  <c r="G55" i="2"/>
  <c r="C23" i="25"/>
  <c r="C24" i="25"/>
  <c r="B127" i="2"/>
  <c r="I35" i="2"/>
  <c r="J24" i="3"/>
  <c r="E42" i="25"/>
  <c r="E28" i="25"/>
  <c r="H28" i="25" s="1"/>
  <c r="M27" i="25"/>
  <c r="M28" i="25"/>
  <c r="M29" i="25"/>
  <c r="E26" i="25"/>
  <c r="G26" i="25"/>
  <c r="H26" i="25"/>
  <c r="H30" i="25"/>
  <c r="H10" i="25"/>
  <c r="B56" i="24"/>
  <c r="H15" i="19"/>
  <c r="I56" i="25"/>
  <c r="I57" i="25" s="1"/>
  <c r="J56" i="25"/>
  <c r="J57" i="25" s="1"/>
  <c r="B31" i="2"/>
  <c r="B133" i="2"/>
  <c r="J29" i="3"/>
  <c r="J36" i="10"/>
  <c r="K36" i="10"/>
  <c r="N50" i="19"/>
  <c r="O50" i="19"/>
  <c r="N51" i="19"/>
  <c r="O51" i="19"/>
  <c r="N52" i="19"/>
  <c r="N57" i="19" s="1"/>
  <c r="O52" i="19"/>
  <c r="N53" i="19"/>
  <c r="O53" i="19"/>
  <c r="N54" i="19"/>
  <c r="O54" i="19"/>
  <c r="N55" i="19"/>
  <c r="O55" i="19"/>
  <c r="N56" i="19"/>
  <c r="O56" i="19"/>
  <c r="N42" i="19"/>
  <c r="O42" i="19"/>
  <c r="N43" i="19"/>
  <c r="N44" i="19"/>
  <c r="P44" i="19" s="1"/>
  <c r="O44" i="19"/>
  <c r="N45" i="19"/>
  <c r="O45" i="19"/>
  <c r="N46" i="19"/>
  <c r="O46" i="19" s="1"/>
  <c r="AL22" i="10"/>
  <c r="AK34" i="10"/>
  <c r="D34" i="10"/>
  <c r="M31" i="3"/>
  <c r="B2" i="3"/>
  <c r="F126" i="2"/>
  <c r="B76" i="2"/>
  <c r="H76" i="2"/>
  <c r="G76" i="2"/>
  <c r="M76" i="2" s="1"/>
  <c r="K76" i="2"/>
  <c r="I76" i="2"/>
  <c r="C76" i="2"/>
  <c r="F60" i="16"/>
  <c r="C32" i="3"/>
  <c r="C26" i="3"/>
  <c r="G24" i="25"/>
  <c r="H24" i="25"/>
  <c r="G27" i="25"/>
  <c r="E27" i="25"/>
  <c r="H27" i="25"/>
  <c r="C55" i="25"/>
  <c r="H11" i="25"/>
  <c r="H13" i="25"/>
  <c r="B50" i="25"/>
  <c r="B49" i="25"/>
  <c r="B48" i="25"/>
  <c r="N56" i="25"/>
  <c r="N57" i="25"/>
  <c r="L57" i="25"/>
  <c r="E41" i="25"/>
  <c r="H41" i="25" s="1"/>
  <c r="E72" i="2"/>
  <c r="K6" i="3" s="1"/>
  <c r="J28" i="3"/>
  <c r="J30" i="3"/>
  <c r="C56" i="25"/>
  <c r="J35" i="3"/>
  <c r="J47" i="3"/>
  <c r="K47" i="3" s="1"/>
  <c r="F17" i="3"/>
  <c r="G14" i="2"/>
  <c r="B14" i="2"/>
  <c r="P42" i="19"/>
  <c r="P52" i="19"/>
  <c r="P53" i="19"/>
  <c r="G41" i="19"/>
  <c r="H41" i="19"/>
  <c r="B39" i="2"/>
  <c r="E73" i="2"/>
  <c r="E74" i="2"/>
  <c r="E75" i="2"/>
  <c r="E71" i="2"/>
  <c r="J19" i="10"/>
  <c r="K19" i="10"/>
  <c r="M32" i="3"/>
  <c r="M33" i="3"/>
  <c r="L61" i="19"/>
  <c r="P61" i="19"/>
  <c r="P63" i="19" s="1"/>
  <c r="G40" i="19" s="1"/>
  <c r="H40" i="19" s="1"/>
  <c r="P62" i="19"/>
  <c r="H9" i="25"/>
  <c r="H44" i="19"/>
  <c r="M34" i="3"/>
  <c r="O32" i="10"/>
  <c r="O33" i="10"/>
  <c r="O30" i="10"/>
  <c r="O31" i="10"/>
  <c r="O29" i="10"/>
  <c r="O16" i="10"/>
  <c r="O13" i="10"/>
  <c r="B23" i="16"/>
  <c r="B24" i="16"/>
  <c r="B25" i="16"/>
  <c r="B22" i="16"/>
  <c r="B46" i="16"/>
  <c r="B47" i="16"/>
  <c r="B48" i="16"/>
  <c r="B49" i="16"/>
  <c r="B55" i="16"/>
  <c r="B56" i="16"/>
  <c r="B57" i="16"/>
  <c r="B58" i="16"/>
  <c r="B54" i="16"/>
  <c r="B45" i="16"/>
  <c r="F38" i="16"/>
  <c r="D44" i="16"/>
  <c r="D53" i="16"/>
  <c r="B52" i="2"/>
  <c r="B48" i="2"/>
  <c r="B60" i="2"/>
  <c r="B35" i="2"/>
  <c r="S24" i="25"/>
  <c r="S25" i="25"/>
  <c r="S26" i="25"/>
  <c r="Q25" i="25"/>
  <c r="Q26" i="25"/>
  <c r="R27" i="25"/>
  <c r="S27" i="25"/>
  <c r="B28" i="24"/>
  <c r="G6" i="2"/>
  <c r="B24" i="2"/>
  <c r="D130" i="2"/>
  <c r="C27" i="3"/>
  <c r="K73" i="2"/>
  <c r="E28" i="16"/>
  <c r="M28" i="16" s="1"/>
  <c r="H28" i="16"/>
  <c r="P28" i="16"/>
  <c r="K75" i="2"/>
  <c r="E36" i="16"/>
  <c r="H36" i="16" s="1"/>
  <c r="P36" i="16" s="1"/>
  <c r="M36" i="16"/>
  <c r="E29" i="16"/>
  <c r="H29" i="16" s="1"/>
  <c r="P29" i="16" s="1"/>
  <c r="I29" i="16"/>
  <c r="Q29" i="16" s="1"/>
  <c r="E30" i="16"/>
  <c r="I30" i="16"/>
  <c r="Q30" i="16" s="1"/>
  <c r="E31" i="16"/>
  <c r="I31" i="16"/>
  <c r="Q31" i="16"/>
  <c r="E32" i="16"/>
  <c r="M32" i="16" s="1"/>
  <c r="I32" i="16"/>
  <c r="Q32" i="16"/>
  <c r="E33" i="16"/>
  <c r="I33" i="16" s="1"/>
  <c r="Q33" i="16" s="1"/>
  <c r="E34" i="16"/>
  <c r="F34" i="16" s="1"/>
  <c r="N34" i="16" s="1"/>
  <c r="I34" i="16"/>
  <c r="Q34" i="16" s="1"/>
  <c r="E35" i="16"/>
  <c r="F35" i="16" s="1"/>
  <c r="N35" i="16" s="1"/>
  <c r="I35" i="16"/>
  <c r="Q35" i="16"/>
  <c r="H31" i="16"/>
  <c r="P31" i="16"/>
  <c r="G31" i="16"/>
  <c r="O31" i="16"/>
  <c r="G28" i="16"/>
  <c r="O28" i="16"/>
  <c r="M31" i="16"/>
  <c r="M34" i="16"/>
  <c r="H31" i="13"/>
  <c r="I31" i="13"/>
  <c r="H32" i="13"/>
  <c r="I32" i="13"/>
  <c r="H33" i="13"/>
  <c r="I33" i="13"/>
  <c r="H34" i="13"/>
  <c r="I34" i="13"/>
  <c r="H35" i="13"/>
  <c r="I35" i="13"/>
  <c r="H36" i="13"/>
  <c r="I36" i="13"/>
  <c r="H37" i="13"/>
  <c r="I37" i="13"/>
  <c r="H38" i="13"/>
  <c r="I38" i="13"/>
  <c r="H30" i="13"/>
  <c r="I30" i="13"/>
  <c r="H19" i="13"/>
  <c r="H20" i="13"/>
  <c r="H21" i="13"/>
  <c r="H22" i="13"/>
  <c r="H23" i="13"/>
  <c r="H24" i="13"/>
  <c r="H25" i="13"/>
  <c r="H26" i="13"/>
  <c r="H18" i="13"/>
  <c r="K74" i="2"/>
  <c r="AL13" i="10"/>
  <c r="F32" i="16"/>
  <c r="N32" i="16"/>
  <c r="G33" i="16"/>
  <c r="O33" i="16" s="1"/>
  <c r="I28" i="16"/>
  <c r="Q28" i="16" s="1"/>
  <c r="F28" i="16"/>
  <c r="N28" i="16"/>
  <c r="F31" i="16"/>
  <c r="N31" i="16" s="1"/>
  <c r="G32" i="16"/>
  <c r="O32" i="16" s="1"/>
  <c r="H32" i="16"/>
  <c r="P32" i="16"/>
  <c r="F33" i="16"/>
  <c r="N33" i="16" s="1"/>
  <c r="M35" i="16"/>
  <c r="G35" i="16"/>
  <c r="O35" i="16"/>
  <c r="H35" i="16"/>
  <c r="P35" i="16"/>
  <c r="F30" i="16"/>
  <c r="N30" i="16" s="1"/>
  <c r="G34" i="16"/>
  <c r="O34" i="16" s="1"/>
  <c r="G30" i="16"/>
  <c r="O30" i="16"/>
  <c r="K72" i="2"/>
  <c r="AL37" i="10"/>
  <c r="AL17" i="10"/>
  <c r="AL20" i="10"/>
  <c r="AL18" i="10"/>
  <c r="K71" i="2"/>
  <c r="AL36" i="10"/>
  <c r="AL33" i="10"/>
  <c r="AL32" i="10"/>
  <c r="AL31" i="10"/>
  <c r="J15" i="10"/>
  <c r="K15" i="10" s="1"/>
  <c r="F74" i="2"/>
  <c r="L74" i="2"/>
  <c r="H18" i="19"/>
  <c r="K10" i="3"/>
  <c r="L30" i="10" l="1"/>
  <c r="M30" i="10" s="1"/>
  <c r="M11" i="10"/>
  <c r="F47" i="16"/>
  <c r="G73" i="2" s="1"/>
  <c r="M73" i="2" s="1"/>
  <c r="F73" i="2"/>
  <c r="L73" i="2" s="1"/>
  <c r="F75" i="2"/>
  <c r="L75" i="2" s="1"/>
  <c r="F49" i="16"/>
  <c r="G75" i="2" s="1"/>
  <c r="M75" i="2" s="1"/>
  <c r="H29" i="25"/>
  <c r="G11" i="25" s="1"/>
  <c r="P56" i="19"/>
  <c r="H14" i="25"/>
  <c r="J41" i="10"/>
  <c r="I21" i="3"/>
  <c r="J21" i="3"/>
  <c r="P55" i="19"/>
  <c r="J33" i="3"/>
  <c r="K33" i="3" s="1"/>
  <c r="P54" i="19"/>
  <c r="J12" i="10"/>
  <c r="K12" i="10"/>
  <c r="D15" i="10"/>
  <c r="D33" i="10"/>
  <c r="D16" i="10"/>
  <c r="AK17" i="10"/>
  <c r="D17" i="10" s="1"/>
  <c r="AK12" i="10"/>
  <c r="D12" i="10" s="1"/>
  <c r="I25" i="3"/>
  <c r="C58" i="16"/>
  <c r="D58" i="16" s="1"/>
  <c r="E58" i="16" s="1"/>
  <c r="C56" i="16"/>
  <c r="D56" i="16" s="1"/>
  <c r="E56" i="16" s="1"/>
  <c r="F56" i="16" s="1"/>
  <c r="C57" i="16"/>
  <c r="D57" i="16" s="1"/>
  <c r="E57" i="16" s="1"/>
  <c r="F57" i="16" s="1"/>
  <c r="H15" i="25"/>
  <c r="N55" i="25"/>
  <c r="N58" i="25" s="1"/>
  <c r="H43" i="25"/>
  <c r="H44" i="25" s="1"/>
  <c r="H45" i="25"/>
  <c r="L55" i="25" s="1"/>
  <c r="N26" i="19"/>
  <c r="N27" i="19"/>
  <c r="P50" i="19"/>
  <c r="C60" i="16"/>
  <c r="C54" i="16"/>
  <c r="D54" i="16" s="1"/>
  <c r="E54" i="16" s="1"/>
  <c r="K9" i="3"/>
  <c r="M22" i="10"/>
  <c r="K31" i="3"/>
  <c r="K32" i="3"/>
  <c r="M31" i="10"/>
  <c r="AL29" i="10"/>
  <c r="K44" i="3"/>
  <c r="AL19" i="10"/>
  <c r="AL34" i="10"/>
  <c r="AL16" i="10"/>
  <c r="K35" i="3"/>
  <c r="AL35" i="10"/>
  <c r="AL21" i="10"/>
  <c r="AL14" i="10"/>
  <c r="AL15" i="10"/>
  <c r="M18" i="10"/>
  <c r="AL30" i="10"/>
  <c r="K23" i="3"/>
  <c r="M15" i="10"/>
  <c r="AL11" i="10"/>
  <c r="K24" i="3"/>
  <c r="M21" i="10"/>
  <c r="H32" i="25"/>
  <c r="P51" i="19"/>
  <c r="F36" i="16"/>
  <c r="N36" i="16" s="1"/>
  <c r="G36" i="16"/>
  <c r="O36" i="16" s="1"/>
  <c r="I36" i="16"/>
  <c r="Q36" i="16" s="1"/>
  <c r="F29" i="16"/>
  <c r="N29" i="16" s="1"/>
  <c r="M29" i="16"/>
  <c r="G29" i="16"/>
  <c r="O29" i="16" s="1"/>
  <c r="N47" i="19"/>
  <c r="O43" i="19"/>
  <c r="O47" i="19" s="1"/>
  <c r="F46" i="16"/>
  <c r="G72" i="2" s="1"/>
  <c r="M72" i="2" s="1"/>
  <c r="J34" i="3"/>
  <c r="K34" i="3" s="1"/>
  <c r="I34" i="3"/>
  <c r="M33" i="16"/>
  <c r="F45" i="16"/>
  <c r="G71" i="2" s="1"/>
  <c r="M71" i="2" s="1"/>
  <c r="F71" i="2"/>
  <c r="L71" i="2" s="1"/>
  <c r="L32" i="10"/>
  <c r="M32" i="10" s="1"/>
  <c r="I31" i="3"/>
  <c r="O57" i="19"/>
  <c r="H43" i="19"/>
  <c r="P46" i="19"/>
  <c r="J21" i="10"/>
  <c r="J25" i="10" s="1"/>
  <c r="K21" i="10"/>
  <c r="J24" i="10"/>
  <c r="K24" i="10" s="1"/>
  <c r="K25" i="10" s="1"/>
  <c r="F8" i="3"/>
  <c r="E39" i="16"/>
  <c r="F55" i="16" s="1"/>
  <c r="H39" i="2" s="1"/>
  <c r="H33" i="16"/>
  <c r="P33" i="16" s="1"/>
  <c r="M30" i="16"/>
  <c r="H30" i="16"/>
  <c r="P30" i="16" s="1"/>
  <c r="P45" i="19"/>
  <c r="K5" i="3"/>
  <c r="F48" i="16"/>
  <c r="G74" i="2" s="1"/>
  <c r="M74" i="2" s="1"/>
  <c r="AL12" i="10"/>
  <c r="J40" i="10"/>
  <c r="J25" i="3"/>
  <c r="K25" i="3" s="1"/>
  <c r="AK14" i="10"/>
  <c r="D14" i="10" s="1"/>
  <c r="D13" i="10"/>
  <c r="H34" i="16"/>
  <c r="P34" i="16" s="1"/>
  <c r="AK11" i="10"/>
  <c r="D11" i="10" s="1"/>
  <c r="H31" i="19"/>
  <c r="AK35" i="10"/>
  <c r="D35" i="10" s="1"/>
  <c r="D32" i="10"/>
  <c r="AK15" i="10"/>
  <c r="D31" i="10"/>
  <c r="D29" i="10"/>
  <c r="F9" i="3"/>
  <c r="I32" i="3" s="1"/>
  <c r="D30" i="10"/>
  <c r="D18" i="10"/>
  <c r="P57" i="19" l="1"/>
  <c r="N28" i="19"/>
  <c r="G24" i="19" s="1"/>
  <c r="H24" i="19" s="1"/>
  <c r="L58" i="25"/>
  <c r="H26" i="3"/>
  <c r="H49" i="25"/>
  <c r="J55" i="25"/>
  <c r="J58" i="25" s="1"/>
  <c r="I55" i="25"/>
  <c r="I58" i="25" s="1"/>
  <c r="K40" i="10"/>
  <c r="K41" i="10" s="1"/>
  <c r="F58" i="16"/>
  <c r="H46" i="25"/>
  <c r="P43" i="19"/>
  <c r="P47" i="19" s="1"/>
  <c r="P58" i="19" s="1"/>
  <c r="G39" i="19" s="1"/>
  <c r="H39" i="19" s="1"/>
  <c r="H48" i="25"/>
  <c r="L12" i="10"/>
  <c r="K21" i="3"/>
  <c r="D20" i="10"/>
  <c r="AK19" i="10"/>
  <c r="I23" i="3"/>
  <c r="F10" i="3"/>
  <c r="D19" i="10"/>
  <c r="I24" i="3"/>
  <c r="I28" i="3"/>
  <c r="I30" i="3"/>
  <c r="G14" i="3"/>
  <c r="AK37" i="10"/>
  <c r="E5" i="19"/>
  <c r="G15" i="3"/>
  <c r="J15" i="3" s="1"/>
  <c r="I44" i="3"/>
  <c r="AK20" i="10"/>
  <c r="I29" i="3"/>
  <c r="I35" i="3"/>
  <c r="I47" i="3"/>
  <c r="D36" i="10"/>
  <c r="AK22" i="10"/>
  <c r="AK21" i="10"/>
  <c r="D21" i="10" s="1"/>
  <c r="D22" i="10"/>
  <c r="D37" i="10"/>
  <c r="I33" i="3"/>
  <c r="L24" i="10"/>
  <c r="M24" i="10" s="1"/>
  <c r="H43" i="3" s="1"/>
  <c r="F54" i="16"/>
  <c r="J43" i="3" l="1"/>
  <c r="K43" i="3" s="1"/>
  <c r="I43" i="3"/>
  <c r="M12" i="10"/>
  <c r="L25" i="10"/>
  <c r="L40" i="10"/>
  <c r="M40" i="10" s="1"/>
  <c r="H45" i="3" s="1"/>
  <c r="J26" i="3"/>
  <c r="K26" i="3" s="1"/>
  <c r="I26" i="3"/>
  <c r="H15" i="3"/>
  <c r="K15" i="3" s="1"/>
  <c r="G7" i="2"/>
  <c r="H14" i="3"/>
  <c r="E23" i="19"/>
  <c r="H23" i="19" s="1"/>
  <c r="M30" i="19"/>
  <c r="N30" i="19" s="1"/>
  <c r="N31" i="19" s="1"/>
  <c r="G25" i="19" s="1"/>
  <c r="H25" i="19" s="1"/>
  <c r="M39" i="10" s="1"/>
  <c r="E7" i="19"/>
  <c r="E14" i="19"/>
  <c r="H14" i="19" s="1"/>
  <c r="B118" i="2"/>
  <c r="G40" i="2" s="1"/>
  <c r="F22" i="3" s="1"/>
  <c r="H16" i="25"/>
  <c r="H50" i="25" s="1"/>
  <c r="J14" i="3"/>
  <c r="J17" i="3" s="1"/>
  <c r="G17" i="3"/>
  <c r="I17" i="3" s="1"/>
  <c r="L39" i="10" l="1"/>
  <c r="L41" i="10" s="1"/>
  <c r="H46" i="3"/>
  <c r="M41" i="10"/>
  <c r="H27" i="3"/>
  <c r="H33" i="19"/>
  <c r="K14" i="3"/>
  <c r="K17" i="3" s="1"/>
  <c r="H17" i="3"/>
  <c r="L43" i="10"/>
  <c r="J22" i="3"/>
  <c r="I22" i="3"/>
  <c r="F18" i="2"/>
  <c r="F19" i="2"/>
  <c r="G19" i="2" s="1"/>
  <c r="F20" i="2"/>
  <c r="G20" i="2" s="1"/>
  <c r="B119" i="2"/>
  <c r="G41" i="2" s="1"/>
  <c r="J45" i="3"/>
  <c r="K45" i="3" s="1"/>
  <c r="I45" i="3"/>
  <c r="H42" i="3"/>
  <c r="M25" i="10"/>
  <c r="M43" i="10" s="1"/>
  <c r="K22" i="3" l="1"/>
  <c r="I42" i="3"/>
  <c r="J42" i="3"/>
  <c r="G18" i="2"/>
  <c r="G21" i="2" s="1"/>
  <c r="F21" i="2"/>
  <c r="H35" i="19"/>
  <c r="H34" i="19"/>
  <c r="J46" i="3"/>
  <c r="K46" i="3" s="1"/>
  <c r="I46" i="3"/>
  <c r="J27" i="3"/>
  <c r="K27" i="3" s="1"/>
  <c r="I27" i="3"/>
  <c r="I36" i="3" s="1"/>
  <c r="J48" i="3" l="1"/>
  <c r="K42" i="3"/>
  <c r="K48" i="3" s="1"/>
  <c r="I48" i="3"/>
  <c r="I50" i="3" s="1"/>
  <c r="J36" i="3"/>
  <c r="K36" i="3"/>
  <c r="J50" i="3" l="1"/>
  <c r="K55" i="3"/>
  <c r="J38" i="3"/>
  <c r="K50" i="3"/>
  <c r="K53" i="3" s="1"/>
  <c r="K38" i="3"/>
  <c r="K56" i="3" l="1"/>
  <c r="J53" i="3"/>
  <c r="I5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Samantha Kindred</author>
    <author>Tech Bench x64</author>
  </authors>
  <commentList>
    <comment ref="G9" authorId="0" shapeId="0" xr:uid="{00000000-0006-0000-0100-000001000000}">
      <text>
        <r>
          <rPr>
            <sz val="9"/>
            <color indexed="81"/>
            <rFont val="Tahoma"/>
            <family val="2"/>
          </rPr>
          <t xml:space="preserve">By deciding the breed, it will have an affect on production characteristics including the cost of the chick, feed intake, days to market, dressing percentage, packaging weight, and mortality rates.
Charts are provided below as a reference for the breed data. </t>
        </r>
      </text>
    </comment>
    <comment ref="G23" authorId="1" shapeId="0" xr:uid="{00000000-0006-0000-0100-000002000000}">
      <text>
        <r>
          <rPr>
            <sz val="9"/>
            <color indexed="81"/>
            <rFont val="Tahoma"/>
            <family val="2"/>
          </rPr>
          <t xml:space="preserve">General assumptions for each housing and management style - 
</t>
        </r>
        <r>
          <rPr>
            <b/>
            <sz val="9"/>
            <color indexed="81"/>
            <rFont val="Tahoma"/>
            <family val="2"/>
          </rPr>
          <t>Stationary</t>
        </r>
        <r>
          <rPr>
            <sz val="9"/>
            <color indexed="81"/>
            <rFont val="Tahoma"/>
            <family val="2"/>
          </rPr>
          <t xml:space="preserve"> - The broilers are raised in a brooder and coop scenario. They can be given access to the outdoors with chicken wire or poly netting fencing. However, they are not moved to fresh ground.  
</t>
        </r>
        <r>
          <rPr>
            <b/>
            <sz val="9"/>
            <color indexed="81"/>
            <rFont val="Tahoma"/>
            <family val="2"/>
          </rPr>
          <t>Mobile</t>
        </r>
        <r>
          <rPr>
            <sz val="9"/>
            <color indexed="81"/>
            <rFont val="Tahoma"/>
            <family val="2"/>
          </rPr>
          <t xml:space="preserve"> - Chicks are raised in a brooder until they reach 3-4 weeks of age, when they are old enough to regulate their own body temperatures. At that point they are moved into hoop houses or chicken tractors with polynetting fencing as a perimeter. They are given yard access during the day and then enclosed in the shelters at night. 
If the birds are not given yard access, they are confined to the pens and moved daily. The poly netting could still be used a barrier in case any birds escaped their pens. 
</t>
        </r>
        <r>
          <rPr>
            <b/>
            <sz val="9"/>
            <color indexed="81"/>
            <rFont val="Tahoma"/>
            <family val="2"/>
          </rPr>
          <t xml:space="preserve">
</t>
        </r>
      </text>
    </comment>
    <comment ref="G34" authorId="1" shapeId="0" xr:uid="{00000000-0006-0000-0100-000003000000}">
      <text>
        <r>
          <rPr>
            <sz val="9"/>
            <color indexed="81"/>
            <rFont val="Tahoma"/>
            <family val="2"/>
          </rPr>
          <t xml:space="preserve">Even as a producer considering adding broilers to their farm, the user should have an idea about how feed will be purchased and their ability to store it. 
The cost of feed should be available from the local supplier or mill. Because of the volatility of the cost of feed, it is important to update the price. </t>
        </r>
      </text>
    </comment>
    <comment ref="G45" authorId="1" shapeId="0" xr:uid="{00000000-0006-0000-0100-000004000000}">
      <text>
        <r>
          <rPr>
            <sz val="9"/>
            <color indexed="81"/>
            <rFont val="Tahoma"/>
            <family val="2"/>
          </rPr>
          <t xml:space="preserve">By deciding your skill as a producer, this cell changes some production efficiency data cells such as death loss. 
The user can evaluate their own skill level based upon their years of experience and involvement with raising broilers. </t>
        </r>
      </text>
    </comment>
    <comment ref="G59" authorId="1" shapeId="0" xr:uid="{00000000-0006-0000-0100-000005000000}">
      <text>
        <r>
          <rPr>
            <sz val="9"/>
            <color indexed="81"/>
            <rFont val="Tahoma"/>
            <family val="2"/>
          </rPr>
          <t xml:space="preserve">The user needs to decide if labor costs will be calculated into the budget and the hourly wage. The hourly wage is internally linked to each management style. 
If it is decided that labor is not going to be accounted for in the budget, the hourly wage will automatically change to $0.00 per hour. It is important to realize that the net profit still includes the cost of your labor and time, even though it is not accounted for. </t>
        </r>
      </text>
    </comment>
    <comment ref="G65" authorId="0" shapeId="0" xr:uid="{00000000-0006-0000-0100-000006000000}">
      <text>
        <r>
          <rPr>
            <sz val="9"/>
            <color indexed="81"/>
            <rFont val="Tahoma"/>
            <family val="2"/>
          </rPr>
          <t xml:space="preserve">The user can indicate here how the birds will be sold after they have been processed. If the birds are refrigerated or frozen then a storage cost will be allocated.
If a user utilizes a refrigerator and a deep freezer, then they can enter the total cost of both items into the Capital Items sheet. </t>
        </r>
      </text>
    </comment>
    <comment ref="E139" authorId="1" shapeId="0" xr:uid="{00000000-0006-0000-0100-000007000000}">
      <text>
        <r>
          <rPr>
            <sz val="9"/>
            <color indexed="81"/>
            <rFont val="Tahoma"/>
            <family val="2"/>
          </rPr>
          <t>Here the user can select how often the birds are rotated to fresh pasture. The options are explained in terms of how many days are in between rotations.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Samantha Kindred</author>
    <author>Tech Bench x64</author>
  </authors>
  <commentList>
    <comment ref="C11" authorId="0" shapeId="0" xr:uid="{00000000-0006-0000-0200-000001000000}">
      <text>
        <r>
          <rPr>
            <sz val="9"/>
            <color indexed="81"/>
            <rFont val="Tahoma"/>
            <family val="2"/>
          </rPr>
          <t xml:space="preserve">Choose which option best describes the pricing method of your local processing facility and enter the costs below. 
</t>
        </r>
        <r>
          <rPr>
            <b/>
            <sz val="9"/>
            <color indexed="81"/>
            <rFont val="Tahoma"/>
            <family val="2"/>
          </rPr>
          <t xml:space="preserve">Flat Rate per Bird Only - </t>
        </r>
        <r>
          <rPr>
            <sz val="9"/>
            <color indexed="81"/>
            <rFont val="Tahoma"/>
            <family val="2"/>
          </rPr>
          <t xml:space="preserve">
The company charges a flat rate per bird regardless of the number of birds taken to the facility, whether it is one bird, 50, or 600 birds. 
</t>
        </r>
        <r>
          <rPr>
            <b/>
            <sz val="9"/>
            <color indexed="81"/>
            <rFont val="Tahoma"/>
            <family val="2"/>
          </rPr>
          <t xml:space="preserve">
Flat Rate/Bird &amp; Start Up Fee - </t>
        </r>
        <r>
          <rPr>
            <sz val="9"/>
            <color indexed="81"/>
            <rFont val="Tahoma"/>
            <family val="2"/>
          </rPr>
          <t xml:space="preserve">
The company charges a flat rate AND a start up fee regardless of the number of birds. 
</t>
        </r>
        <r>
          <rPr>
            <b/>
            <sz val="9"/>
            <color indexed="81"/>
            <rFont val="Tahoma"/>
            <family val="2"/>
          </rPr>
          <t>Flat Rate/Bird &amp; Start Up Fee IF Less Than X Birds -</t>
        </r>
        <r>
          <rPr>
            <sz val="9"/>
            <color indexed="81"/>
            <rFont val="Tahoma"/>
            <family val="2"/>
          </rPr>
          <t xml:space="preserve"> 
The company charges a start up fee AND rate per bird for any number of birds LESS THAN a certain amount (for example, 50 birds); for any number of birds higher than that the company only charges the flat rate per bird.</t>
        </r>
      </text>
    </comment>
    <comment ref="C15" authorId="1" shapeId="0" xr:uid="{00000000-0006-0000-0200-000002000000}">
      <text>
        <r>
          <rPr>
            <sz val="9"/>
            <color indexed="81"/>
            <rFont val="Tahoma"/>
            <family val="2"/>
          </rPr>
          <t>Enter the TOTAL fees per BIRD here. For example, if you pay $1.50 for split fees, and $0.25 for organ harvesting, enter $1.75 per bird.</t>
        </r>
      </text>
    </comment>
    <comment ref="B21" authorId="1" shapeId="0" xr:uid="{00000000-0006-0000-0200-000003000000}">
      <text>
        <r>
          <rPr>
            <sz val="9"/>
            <color indexed="81"/>
            <rFont val="Tahoma"/>
            <family val="2"/>
          </rPr>
          <t>In Kentucky, docking stations for the Mobile Processing Unit are available at Kentucky State University, Morehead State, and in Jackson County.
The daily capacity of the MPU is said to be 250 birds per day, 7.5 hours per day (or there will be an overtime fee).</t>
        </r>
      </text>
    </comment>
    <comment ref="J26" authorId="0" shapeId="0" xr:uid="{00000000-0006-0000-0200-000004000000}">
      <text>
        <r>
          <rPr>
            <sz val="9"/>
            <color indexed="81"/>
            <rFont val="Tahoma"/>
            <family val="2"/>
          </rPr>
          <t>$75 for  the first 2 years of training, $50 after that (every user, every two years). 
http://www.extension.org/pages/16092/kentucky-mobile-poultry-processing-unit#.Va1_WPlViko</t>
        </r>
      </text>
    </comment>
    <comment ref="C32" authorId="1" shapeId="0" xr:uid="{00000000-0006-0000-0200-000005000000}">
      <text>
        <r>
          <rPr>
            <sz val="9"/>
            <color indexed="81"/>
            <rFont val="Tahoma"/>
            <family val="2"/>
          </rPr>
          <t xml:space="preserve">Any time spend over the 7.5 hours is $10 an hour, for KY Mobile Unit specifically.
</t>
        </r>
      </text>
    </comment>
    <comment ref="B38" authorId="1" shapeId="0" xr:uid="{00000000-0006-0000-0200-000006000000}">
      <text>
        <r>
          <rPr>
            <sz val="9"/>
            <color indexed="81"/>
            <rFont val="Tahoma"/>
            <family val="2"/>
          </rPr>
          <t xml:space="preserve">Check laws and regulations in your state for at home processing, birds limitations and exemptions. </t>
        </r>
      </text>
    </comment>
    <comment ref="C39" authorId="1" shapeId="0" xr:uid="{00000000-0006-0000-0200-000007000000}">
      <text>
        <r>
          <rPr>
            <sz val="9"/>
            <color indexed="81"/>
            <rFont val="Tahoma"/>
            <family val="2"/>
          </rPr>
          <t xml:space="preserve">Enter the initial cost of the depreciable items in the chart to the right. If there are any items listed that you do not use, simply enter $o.oo as the initial cost. 
By choosing On Farm as the processing method, the depreciable costs related to that are automatically added to the fixed costs on the management style sheets. 
For example, when On farm is selected, the cost of the building is added to the Facilities and the cost of a scalder and plucker are added to the Equipment section on the summary sheet. </t>
        </r>
      </text>
    </comment>
    <comment ref="C40" authorId="0" shapeId="0" xr:uid="{00000000-0006-0000-0200-000008000000}">
      <text>
        <r>
          <rPr>
            <sz val="9"/>
            <color indexed="81"/>
            <rFont val="Tahoma"/>
            <family val="2"/>
          </rPr>
          <t>Enter any costs here that may not be listed in the depreciable items chart.</t>
        </r>
      </text>
    </comment>
    <comment ref="C41" authorId="1" shapeId="0" xr:uid="{00000000-0006-0000-0200-000009000000}">
      <text>
        <r>
          <rPr>
            <sz val="9"/>
            <color indexed="81"/>
            <rFont val="Tahoma"/>
            <family val="2"/>
          </rPr>
          <t>This is the amount of labor it takes to finish processing the entire batch. If you process a batch over 2 days, be sure to include all of the hours spent during both days for each individual involved.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Samantha Kindred</author>
  </authors>
  <commentList>
    <comment ref="F4" authorId="0" shapeId="0" xr:uid="{00000000-0006-0000-0300-000001000000}">
      <text>
        <r>
          <rPr>
            <sz val="9"/>
            <color indexed="81"/>
            <rFont val="Tahoma"/>
            <family val="2"/>
          </rPr>
          <t xml:space="preserve">By selecting "Owned," the user is indicating that they use his own trailer and labor to transport the birds to the processor.
If the transportation is hired, then the user will not be charged for a trailer or the crates for holding the birds. </t>
        </r>
      </text>
    </comment>
    <comment ref="B8" authorId="0" shapeId="0" xr:uid="{00000000-0006-0000-0300-000002000000}">
      <text>
        <r>
          <rPr>
            <sz val="9"/>
            <color indexed="81"/>
            <rFont val="Tahoma"/>
            <family val="2"/>
          </rPr>
          <t xml:space="preserve">On the management style sheets, if the trucking cost is hired, it is assumed that the trailer and crates are made available by the driver, therefore they are not charged to the fixed costs.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Tech Bench x64</author>
  </authors>
  <commentList>
    <comment ref="B16" authorId="0" shapeId="0" xr:uid="{00000000-0006-0000-0400-000001000000}">
      <text>
        <r>
          <rPr>
            <sz val="9"/>
            <color indexed="81"/>
            <rFont val="Tahoma"/>
            <family val="2"/>
          </rPr>
          <t>http://www.southernsare.org/content/download/50676/665842/file/Profitable%20Poultry.pdf</t>
        </r>
      </text>
    </comment>
    <comment ref="B30" authorId="0" shapeId="0" xr:uid="{00000000-0006-0000-0400-000002000000}">
      <text>
        <r>
          <rPr>
            <sz val="9"/>
            <color indexed="81"/>
            <rFont val="Tahoma"/>
            <family val="2"/>
          </rPr>
          <t>Trough feeder</t>
        </r>
      </text>
    </comment>
    <comment ref="B31" authorId="0" shapeId="0" xr:uid="{00000000-0006-0000-0400-000003000000}">
      <text>
        <r>
          <rPr>
            <sz val="9"/>
            <color indexed="81"/>
            <rFont val="Tahoma"/>
            <family val="2"/>
          </rPr>
          <t>Waterer with a 1 gallon capacity</t>
        </r>
      </text>
    </comment>
    <comment ref="B32" authorId="0" shapeId="0" xr:uid="{00000000-0006-0000-0400-000004000000}">
      <text>
        <r>
          <rPr>
            <sz val="9"/>
            <color indexed="81"/>
            <rFont val="Tahoma"/>
            <family val="2"/>
          </rPr>
          <t>Cost of a hanging feeder with a 30 lb capacity.</t>
        </r>
      </text>
    </comment>
    <comment ref="B33" authorId="0" shapeId="0" xr:uid="{00000000-0006-0000-0400-000005000000}">
      <text>
        <r>
          <rPr>
            <sz val="9"/>
            <color indexed="81"/>
            <rFont val="Tahoma"/>
            <family val="2"/>
          </rPr>
          <t xml:space="preserve">The cost to build your own waterer, including a 5 gallon bucket with 4 nipples. </t>
        </r>
      </text>
    </comment>
    <comment ref="B36" authorId="0" shapeId="0" xr:uid="{00000000-0006-0000-0400-000006000000}">
      <text>
        <r>
          <rPr>
            <sz val="9"/>
            <color indexed="81"/>
            <rFont val="Tahoma"/>
            <family val="2"/>
          </rPr>
          <t xml:space="preserve">Plastic crate used for transportation to processor. The number of crates needed is divided by the number of trips taken to the processor.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Samantha Kindred</author>
  </authors>
  <commentList>
    <comment ref="H10" authorId="0" shapeId="0" xr:uid="{00000000-0006-0000-0500-000001000000}">
      <text>
        <r>
          <rPr>
            <sz val="9"/>
            <color indexed="81"/>
            <rFont val="Tahoma"/>
            <family val="2"/>
          </rPr>
          <t xml:space="preserve">This is for any of the final product that was not sold. For example, it could have been consumed by the family, given away as a sample, or lost to a storage malfunction. </t>
        </r>
      </text>
    </comment>
  </commentList>
</comments>
</file>

<file path=xl/sharedStrings.xml><?xml version="1.0" encoding="utf-8"?>
<sst xmlns="http://schemas.openxmlformats.org/spreadsheetml/2006/main" count="895" uniqueCount="645">
  <si>
    <t>Projected Costs and Returns</t>
  </si>
  <si>
    <t>Amount</t>
  </si>
  <si>
    <t>Unit</t>
  </si>
  <si>
    <t>Total</t>
  </si>
  <si>
    <t>Feed</t>
  </si>
  <si>
    <t>Bedding</t>
  </si>
  <si>
    <t>Pasture Management</t>
  </si>
  <si>
    <t>Breed</t>
  </si>
  <si>
    <t>Cornish Cross</t>
  </si>
  <si>
    <t>Days to Market</t>
  </si>
  <si>
    <t>Freedom Ranger</t>
  </si>
  <si>
    <t>Packaging %</t>
  </si>
  <si>
    <t>Heritage Breed (12 wks)</t>
  </si>
  <si>
    <t>Chicks</t>
  </si>
  <si>
    <t>Yes</t>
  </si>
  <si>
    <t>Body Weight</t>
  </si>
  <si>
    <t>Purpose:</t>
  </si>
  <si>
    <t>Brooder</t>
  </si>
  <si>
    <t>Coop</t>
  </si>
  <si>
    <t>Hoop House</t>
  </si>
  <si>
    <t>Poly Netting</t>
  </si>
  <si>
    <t>Novice</t>
  </si>
  <si>
    <t>Intermediate</t>
  </si>
  <si>
    <t>Expert</t>
  </si>
  <si>
    <t>Trailer</t>
  </si>
  <si>
    <t>Other</t>
  </si>
  <si>
    <t>Cost per Batch</t>
  </si>
  <si>
    <t>Maintenance &amp; Repair</t>
  </si>
  <si>
    <t>an acre can carry 300 growing birds</t>
  </si>
  <si>
    <t>Forage Replacement (%)</t>
  </si>
  <si>
    <t>X</t>
  </si>
  <si>
    <t>Age (Weeks)</t>
  </si>
  <si>
    <t>Female</t>
  </si>
  <si>
    <t>Average</t>
  </si>
  <si>
    <t>Male</t>
  </si>
  <si>
    <t>Body Weight (lb)</t>
  </si>
  <si>
    <t>Weekly Feed (lb)</t>
  </si>
  <si>
    <t>Weekly Feed</t>
  </si>
  <si>
    <t>Cumulative Feed</t>
  </si>
  <si>
    <t>Cumulative Feed (lb)</t>
  </si>
  <si>
    <t>SUMMARY OUTPUT</t>
  </si>
  <si>
    <t>Regression Statistics</t>
  </si>
  <si>
    <t>Multiple R</t>
  </si>
  <si>
    <t>R Square</t>
  </si>
  <si>
    <t>Adjusted R Square</t>
  </si>
  <si>
    <t>Standard Error</t>
  </si>
  <si>
    <t>Observations</t>
  </si>
  <si>
    <t>ANOVA</t>
  </si>
  <si>
    <t>Regression</t>
  </si>
  <si>
    <t>Residual</t>
  </si>
  <si>
    <t>Intercept</t>
  </si>
  <si>
    <t>df</t>
  </si>
  <si>
    <t>SS</t>
  </si>
  <si>
    <t>MS</t>
  </si>
  <si>
    <t>F</t>
  </si>
  <si>
    <t>Significance F</t>
  </si>
  <si>
    <t>Coefficients</t>
  </si>
  <si>
    <t>t Stat</t>
  </si>
  <si>
    <t>P-value</t>
  </si>
  <si>
    <t>Lower 95%</t>
  </si>
  <si>
    <t>Upper 95%</t>
  </si>
  <si>
    <t>Lower 95.0%</t>
  </si>
  <si>
    <t>Upper 95.0%</t>
  </si>
  <si>
    <t>X Variable 1</t>
  </si>
  <si>
    <t>Age (End of Week)</t>
  </si>
  <si>
    <t>Age (Mid- Week)</t>
  </si>
  <si>
    <t>Weight</t>
  </si>
  <si>
    <t>X2</t>
  </si>
  <si>
    <t>X Variable 2</t>
  </si>
  <si>
    <t>Cornish X</t>
  </si>
  <si>
    <t>Heritage 12 wks</t>
  </si>
  <si>
    <t>Predicted Cumulative Feed Intake</t>
  </si>
  <si>
    <t>Predicted Feed Conversion Ratio</t>
  </si>
  <si>
    <t>Finishing Weight</t>
  </si>
  <si>
    <t>Heritage Breeds</t>
  </si>
  <si>
    <t>How often does the flock have access to fresh pasture?</t>
  </si>
  <si>
    <t>Local Processor</t>
  </si>
  <si>
    <t>Propane refill</t>
  </si>
  <si>
    <t>Building</t>
  </si>
  <si>
    <t>Scalder</t>
  </si>
  <si>
    <t>Plucker</t>
  </si>
  <si>
    <t>Stainless Steel Sink</t>
  </si>
  <si>
    <t>Large Tub</t>
  </si>
  <si>
    <t>Scale</t>
  </si>
  <si>
    <t>Utensils</t>
  </si>
  <si>
    <t>Propane Tank</t>
  </si>
  <si>
    <t>Evisceration Table</t>
  </si>
  <si>
    <t>Depreciable Items:</t>
  </si>
  <si>
    <t>Vacuum Bags</t>
  </si>
  <si>
    <t>No</t>
  </si>
  <si>
    <t>Cost per Chick</t>
  </si>
  <si>
    <t>Packaging Weight (lbs)</t>
  </si>
  <si>
    <t>Heat Lamp</t>
  </si>
  <si>
    <t>Adult Feeder</t>
  </si>
  <si>
    <t>Adult Waterer</t>
  </si>
  <si>
    <t>Chick Feeder</t>
  </si>
  <si>
    <t>Chick Waterer</t>
  </si>
  <si>
    <t>Crate</t>
  </si>
  <si>
    <t>Birds per Item</t>
  </si>
  <si>
    <t>Labor - Minutes per day for each batch</t>
  </si>
  <si>
    <t>Batches per Year</t>
  </si>
  <si>
    <t>Cost Per Batch</t>
  </si>
  <si>
    <t>Bag</t>
  </si>
  <si>
    <t>Hired</t>
  </si>
  <si>
    <t>Flat Rate per Bird Only</t>
  </si>
  <si>
    <t>Never</t>
  </si>
  <si>
    <t>Often (7 days)</t>
  </si>
  <si>
    <t>Very Often (&lt;3 days)</t>
  </si>
  <si>
    <t>Not Often (10+ days)</t>
  </si>
  <si>
    <t>Not Often</t>
  </si>
  <si>
    <t>Often</t>
  </si>
  <si>
    <t>Very Often</t>
  </si>
  <si>
    <t>Stationary</t>
  </si>
  <si>
    <t>Mobile</t>
  </si>
  <si>
    <t>Hoop Houses</t>
  </si>
  <si>
    <t>Chicken Tractor</t>
  </si>
  <si>
    <t>Chicken Wire</t>
  </si>
  <si>
    <t>None</t>
  </si>
  <si>
    <t>Birds per Batch</t>
  </si>
  <si>
    <t>We may end up removing the forage replacement question, especially for the broilers budgets</t>
  </si>
  <si>
    <t>Both, Wire &amp; Netting</t>
  </si>
  <si>
    <t>This chart is linked to the equations</t>
  </si>
  <si>
    <t>This chart is a copy of our estimates for forage replacement at the time</t>
  </si>
  <si>
    <t>Might also need to add a "daily" option to the drop down box</t>
  </si>
  <si>
    <t>Ton</t>
  </si>
  <si>
    <t>Owned</t>
  </si>
  <si>
    <t>Flat Rate/Bird &amp; Start Up Fee</t>
  </si>
  <si>
    <t>Processing Charges</t>
  </si>
  <si>
    <t>Processed Birds NOT Sold (%)</t>
  </si>
  <si>
    <t>Useful Life (Yr)</t>
  </si>
  <si>
    <t>Production Labor (hrs/batch)</t>
  </si>
  <si>
    <t>Processing Labor (hrs/batch)</t>
  </si>
  <si>
    <t>Finished Live Weight (lbs)</t>
  </si>
  <si>
    <t>Feed Bin</t>
  </si>
  <si>
    <t>Refrigerator</t>
  </si>
  <si>
    <t>Deep Freezer</t>
  </si>
  <si>
    <t>Refrigerated</t>
  </si>
  <si>
    <t>Frozen</t>
  </si>
  <si>
    <t>Items for EACH Harvest</t>
  </si>
  <si>
    <t>Refrigerated, Frozen</t>
  </si>
  <si>
    <t>Cost / Batch</t>
  </si>
  <si>
    <t>Depreciable Items - Mobile Processing Unit</t>
  </si>
  <si>
    <t>Depreciable Items - On Farm Processing</t>
  </si>
  <si>
    <t>Larger Depreciable Items</t>
  </si>
  <si>
    <t>Smaller Depreciable Items</t>
  </si>
  <si>
    <t>Depreciable Items</t>
  </si>
  <si>
    <t>Total Larger Costs</t>
  </si>
  <si>
    <t>Total Smaller Costs</t>
  </si>
  <si>
    <t>Total Per Trip Costs</t>
  </si>
  <si>
    <t>Items for EACH Trip</t>
  </si>
  <si>
    <t>Total Per Harvest Costs</t>
  </si>
  <si>
    <t>Total Depreciable Costs</t>
  </si>
  <si>
    <t>Total Trainings</t>
  </si>
  <si>
    <t xml:space="preserve">  - Get realistic estimates for forage replacement</t>
  </si>
  <si>
    <t xml:space="preserve">  - Evaluate the best way to apply the forage replacement percentage : Does it affect the feed intake or the ADG more?</t>
  </si>
  <si>
    <t xml:space="preserve"> - Todd's birds ate the same amount of concentrate, but weighed more at harvest day, with short forage</t>
  </si>
  <si>
    <t xml:space="preserve">  - Need realistic estimates for labor, dependent on skill type, management style, and number of birds</t>
  </si>
  <si>
    <r>
      <t xml:space="preserve">Things we would still like to </t>
    </r>
    <r>
      <rPr>
        <b/>
        <sz val="11"/>
        <color theme="1"/>
        <rFont val="Calibri"/>
        <family val="2"/>
        <scheme val="minor"/>
      </rPr>
      <t>accomplish</t>
    </r>
    <r>
      <rPr>
        <sz val="11"/>
        <color theme="1"/>
        <rFont val="Calibri"/>
        <family val="2"/>
        <scheme val="minor"/>
      </rPr>
      <t xml:space="preserve"> with these budgets</t>
    </r>
    <r>
      <rPr>
        <b/>
        <sz val="11"/>
        <color theme="1"/>
        <rFont val="Calibri"/>
        <family val="2"/>
        <scheme val="minor"/>
      </rPr>
      <t xml:space="preserve"> in the future</t>
    </r>
    <r>
      <rPr>
        <sz val="11"/>
        <color theme="1"/>
        <rFont val="Calibri"/>
        <family val="2"/>
        <scheme val="minor"/>
      </rPr>
      <t>:</t>
    </r>
  </si>
  <si>
    <t>My Own</t>
  </si>
  <si>
    <t>Chicks per Batch</t>
  </si>
  <si>
    <t>Heritage (12 wks)</t>
  </si>
  <si>
    <t>Need costs for</t>
  </si>
  <si>
    <t xml:space="preserve">   - Marketing</t>
  </si>
  <si>
    <t xml:space="preserve">   - Maintenance and repair</t>
  </si>
  <si>
    <t xml:space="preserve">   - Other, which includes utilites, insurance, interest, etc.. </t>
  </si>
  <si>
    <t xml:space="preserve">   - Pasture Management</t>
  </si>
  <si>
    <t>Always reevaluate</t>
  </si>
  <si>
    <t xml:space="preserve">  - Production data (in the charts on the Producation Data sheet) to ensure that they are realistic</t>
  </si>
  <si>
    <t xml:space="preserve">   - Depreciable costs, to make sure they are realistic</t>
  </si>
  <si>
    <t>Processing &amp; Transportation</t>
  </si>
  <si>
    <t xml:space="preserve">  - We want a chart for transportation costs, including repairs and maintenance, broken down on a per mile basis</t>
  </si>
  <si>
    <t>For more information, contact:</t>
  </si>
  <si>
    <t>Samantha Kindred</t>
  </si>
  <si>
    <t>Greg Halich</t>
  </si>
  <si>
    <t>Extension Associate</t>
  </si>
  <si>
    <t>Assistant Extension Professor</t>
  </si>
  <si>
    <t>Samantha.Kindred@uky.edu</t>
  </si>
  <si>
    <t>Greg.Halich@uky.edu</t>
  </si>
  <si>
    <t>859-257-2996</t>
  </si>
  <si>
    <t>859-257-8841</t>
  </si>
  <si>
    <t>In the Brooder</t>
  </si>
  <si>
    <t>In the field</t>
  </si>
  <si>
    <t>Mortality Rate (brooder)</t>
  </si>
  <si>
    <t>Mortality Rate (field)</t>
  </si>
  <si>
    <t>Marketing Labor (hrs/batch)</t>
  </si>
  <si>
    <t>Look at Table 3 below for more information</t>
  </si>
  <si>
    <t>Notes for Specific Sheets</t>
  </si>
  <si>
    <t>Options Evaluated:</t>
  </si>
  <si>
    <t>General Instructions:</t>
  </si>
  <si>
    <t>Production Data:</t>
  </si>
  <si>
    <t>Processing:</t>
  </si>
  <si>
    <t>Transportation:</t>
  </si>
  <si>
    <t>Mobile/Stationary:</t>
  </si>
  <si>
    <t>Broiler Budgets</t>
  </si>
  <si>
    <t>This decision tool was developed to assist current and potential producers with estimating their costs and returns for a small scale broiler enterprise.</t>
  </si>
  <si>
    <t>The management style options are broken down into two categories: Stationary and Mobile housing.</t>
  </si>
  <si>
    <t>Select the type of processing facility and enter the appropriate variable and depreciable costs. This will automatically update the costs on the Summart sheet.</t>
  </si>
  <si>
    <t>Select the method of transportation and enter the appropriate costs. This will automatically update costs on the Summary Sheet</t>
  </si>
  <si>
    <t xml:space="preserve">This sheet combines all of the data from the previous sheets into a summary that includes the production data, as well as estimated costs and returns. No changes can be made to this sheet. </t>
  </si>
  <si>
    <t xml:space="preserve">Carefully consider each of the questions provided on this sheet, and select the answer from the drop box selections that best explains your broiler enterprise. </t>
  </si>
  <si>
    <t>Enter the intial cost for depreciable items. If there is an item on the list that you do not utilize, simply enter $0.00. Do not be concerned by rows without any information. These have been appropriately updated depending on the answers provided on the Production Data sheet.</t>
  </si>
  <si>
    <t xml:space="preserve">Cells with blue font can be changed by the user. The sheets are linked internally, when a change is made in one sheet, it will automatically update the others. Cells with red triangles in the upper right hand corner contain comments with more information. </t>
  </si>
  <si>
    <t>Cart</t>
  </si>
  <si>
    <t>Dolly</t>
  </si>
  <si>
    <t>Marketing Supplies</t>
  </si>
  <si>
    <t>Live Finish Weight (lbs)</t>
  </si>
  <si>
    <t>Look at Table 2 below for more information</t>
  </si>
  <si>
    <t>Fencing Supplies</t>
  </si>
  <si>
    <t>Feed Conversion Ratio (lbs)</t>
  </si>
  <si>
    <t>Predicted Feed Intake Adujsted for Mortality</t>
  </si>
  <si>
    <t>Assumed Field Death Loss for Feed Conversion Purposes</t>
  </si>
  <si>
    <t>Actual Field Death Loss</t>
  </si>
  <si>
    <t>Predicted Feed Intake Without Mortality</t>
  </si>
  <si>
    <t xml:space="preserve"> </t>
  </si>
  <si>
    <t>How much % of full feed these dead birds ate</t>
  </si>
  <si>
    <t>From Jacquie's "How much will my birds eat?</t>
  </si>
  <si>
    <t>Dressing %</t>
  </si>
  <si>
    <t>Notes:</t>
  </si>
  <si>
    <t>Cost per Loaded Mile</t>
  </si>
  <si>
    <t>Cost per Unit</t>
  </si>
  <si>
    <t>Total Cost</t>
  </si>
  <si>
    <t>This category includes promotional items such as signage, car decals, bags, etc.</t>
  </si>
  <si>
    <t xml:space="preserve">The recommended stocking rate for broilers is at least 2 square feet per bird. </t>
  </si>
  <si>
    <t>The recommended stocking density for a brooder is 0.25 square feet per chicks.</t>
  </si>
  <si>
    <t>This category includes supplies needed for fencing, other than the actual poly netting such as a charger.</t>
  </si>
  <si>
    <t xml:space="preserve">This mortality rate is the percentage of the birds that survived the brooder. </t>
  </si>
  <si>
    <t>Suggested # of Items</t>
  </si>
  <si>
    <t>Use Suggested</t>
  </si>
  <si>
    <t>Enter Below</t>
  </si>
  <si>
    <t>Cost</t>
  </si>
  <si>
    <t>Heat lamps, waterers, feeders, crates, marketing supplies, and supplies for processing if applicable.</t>
  </si>
  <si>
    <t xml:space="preserve">Land costs, insurance, interest for loans, and utilities charges. </t>
  </si>
  <si>
    <t>Use the suggested number of items or enter below?</t>
  </si>
  <si>
    <t>Depreciation</t>
  </si>
  <si>
    <t>Tires</t>
  </si>
  <si>
    <t>High</t>
  </si>
  <si>
    <t>Medium</t>
  </si>
  <si>
    <t>Low</t>
  </si>
  <si>
    <t>Change by:</t>
  </si>
  <si>
    <t>Enter</t>
  </si>
  <si>
    <t>Calculate</t>
  </si>
  <si>
    <t>Source: http://www.lrrb.org/media/reports/200319.pdf, adjusted for 2015 using CPI calculator</t>
  </si>
  <si>
    <t>Maintenance, Repairs</t>
  </si>
  <si>
    <t>Annual Cost</t>
  </si>
  <si>
    <t>$/Mile</t>
  </si>
  <si>
    <t>Annual mileage:</t>
  </si>
  <si>
    <t>Entered # of Items</t>
  </si>
  <si>
    <t>Suggested Useful Life</t>
  </si>
  <si>
    <t>Entered Useful Life</t>
  </si>
  <si>
    <t>Include an interest rate for the depreciable items?</t>
  </si>
  <si>
    <t xml:space="preserve">     Enter the pounds per bag:</t>
  </si>
  <si>
    <t>Use the suggested useful life or enter below?</t>
  </si>
  <si>
    <t>Choose the selection that best fits your processors method of billing.</t>
  </si>
  <si>
    <t>Return over Variable Costs</t>
  </si>
  <si>
    <t>Depreciation per Year</t>
  </si>
  <si>
    <t>Interest per Year</t>
  </si>
  <si>
    <t>Table 1: Production Characteristics by Breed</t>
  </si>
  <si>
    <t>Table 2: Mortality Rates (%) in the brooder</t>
  </si>
  <si>
    <t>Table 3: Mortality Rates (%) in the field</t>
  </si>
  <si>
    <t xml:space="preserve">Cornish Cross </t>
  </si>
  <si>
    <t>Cornish</t>
  </si>
  <si>
    <t>Heritage (18 wks)</t>
  </si>
  <si>
    <t>Heritage Breed (18 wks)</t>
  </si>
  <si>
    <t>Heritage (14 wks)</t>
  </si>
  <si>
    <t>Heritage Breed (14 wks)</t>
  </si>
  <si>
    <t>Jacquie said that all of these studies accounted for death loss, so the percentage of adjustment is 0%</t>
  </si>
  <si>
    <t>what about brooder death loss</t>
  </si>
  <si>
    <t>Heritage 14 wks</t>
  </si>
  <si>
    <t>Heritage 18 wks</t>
  </si>
  <si>
    <r>
      <t xml:space="preserve">Choose a management style for your broiler enterprise. </t>
    </r>
    <r>
      <rPr>
        <i/>
        <sz val="10"/>
        <color theme="1"/>
        <rFont val="Arial"/>
        <family val="2"/>
      </rPr>
      <t>(Select one)</t>
    </r>
  </si>
  <si>
    <r>
      <t xml:space="preserve">What type of fencing is provided for the birds? </t>
    </r>
    <r>
      <rPr>
        <i/>
        <sz val="10"/>
        <color theme="1"/>
        <rFont val="Arial"/>
        <family val="2"/>
      </rPr>
      <t>(Select one)</t>
    </r>
  </si>
  <si>
    <r>
      <t>Choose a breed of broiler for your enterprise.</t>
    </r>
    <r>
      <rPr>
        <i/>
        <sz val="10"/>
        <color theme="1"/>
        <rFont val="Arial"/>
        <family val="2"/>
      </rPr>
      <t xml:space="preserve"> (Select one)</t>
    </r>
  </si>
  <si>
    <r>
      <t xml:space="preserve">How experienced would you consider yourself as a producer? </t>
    </r>
    <r>
      <rPr>
        <i/>
        <sz val="10"/>
        <color theme="1"/>
        <rFont val="Arial"/>
        <family val="2"/>
      </rPr>
      <t>(Select one)</t>
    </r>
  </si>
  <si>
    <r>
      <t xml:space="preserve">Use the estimated mortality rate </t>
    </r>
    <r>
      <rPr>
        <i/>
        <sz val="10"/>
        <color theme="1"/>
        <rFont val="Arial"/>
        <family val="2"/>
      </rPr>
      <t>in the brooder</t>
    </r>
    <r>
      <rPr>
        <sz val="10"/>
        <color theme="1"/>
        <rFont val="Arial"/>
        <family val="2"/>
      </rPr>
      <t xml:space="preserve"> or enter your own? </t>
    </r>
    <r>
      <rPr>
        <i/>
        <sz val="10"/>
        <color theme="1"/>
        <rFont val="Arial"/>
        <family val="2"/>
      </rPr>
      <t>(Select one)</t>
    </r>
  </si>
  <si>
    <r>
      <t>Use the estimated mortality rate for</t>
    </r>
    <r>
      <rPr>
        <i/>
        <sz val="10"/>
        <color theme="1"/>
        <rFont val="Arial"/>
        <family val="2"/>
      </rPr>
      <t xml:space="preserve"> in the field</t>
    </r>
    <r>
      <rPr>
        <sz val="10"/>
        <color theme="1"/>
        <rFont val="Arial"/>
        <family val="2"/>
      </rPr>
      <t xml:space="preserve"> or enter your own? </t>
    </r>
    <r>
      <rPr>
        <i/>
        <sz val="10"/>
        <color theme="1"/>
        <rFont val="Arial"/>
        <family val="2"/>
      </rPr>
      <t>(Select one)</t>
    </r>
  </si>
  <si>
    <r>
      <t xml:space="preserve">How do you purchase your feed? </t>
    </r>
    <r>
      <rPr>
        <i/>
        <sz val="10"/>
        <color theme="1"/>
        <rFont val="Arial"/>
        <family val="2"/>
      </rPr>
      <t>(Select one)</t>
    </r>
  </si>
  <si>
    <r>
      <t xml:space="preserve">Would you like to include your labor cost in the budget? </t>
    </r>
    <r>
      <rPr>
        <i/>
        <sz val="10"/>
        <color theme="1"/>
        <rFont val="Arial"/>
        <family val="2"/>
      </rPr>
      <t>(Select one)</t>
    </r>
  </si>
  <si>
    <r>
      <t xml:space="preserve">How do you sell the processed birds? </t>
    </r>
    <r>
      <rPr>
        <i/>
        <sz val="10"/>
        <color theme="1"/>
        <rFont val="Arial"/>
        <family val="2"/>
      </rPr>
      <t>(Select one)</t>
    </r>
  </si>
  <si>
    <t>Total Smaller Depreciable Items Cost</t>
  </si>
  <si>
    <t>Total Larger Depreciable Items Cost</t>
  </si>
  <si>
    <t>Interest rate:</t>
  </si>
  <si>
    <t>Fuel</t>
  </si>
  <si>
    <t>Labor</t>
  </si>
  <si>
    <t>Owned Transportation</t>
  </si>
  <si>
    <t>Quant.</t>
  </si>
  <si>
    <t>Price</t>
  </si>
  <si>
    <t>Loaded Mile</t>
  </si>
  <si>
    <t>mpg</t>
  </si>
  <si>
    <t>gal</t>
  </si>
  <si>
    <t>hours</t>
  </si>
  <si>
    <t>mile</t>
  </si>
  <si>
    <t>Fuel Economy</t>
  </si>
  <si>
    <t>Chicks can be ordered from www.moyerschicks.com, www.mcmurrayhatchery.com, www.cacklehatchery.com, www.meyerhatchery.com, and other catalogs.</t>
  </si>
  <si>
    <t>Estimated</t>
  </si>
  <si>
    <t>Fencing, Wire</t>
  </si>
  <si>
    <t>Fencing, Poly Netting</t>
  </si>
  <si>
    <t>Total Depreciation and Interest per Year</t>
  </si>
  <si>
    <t>Total Depreciation and Interest per Batch</t>
  </si>
  <si>
    <t>minutes/day</t>
  </si>
  <si>
    <t>hours/batch</t>
  </si>
  <si>
    <t>The cart is for taking feed out to birds, moving fencing supplies, etc.</t>
  </si>
  <si>
    <t xml:space="preserve">A dolly is a common method of moving hoop houses. </t>
  </si>
  <si>
    <t>As an example, Southern States requires a 3 ton minimum purchase for the feed to be bulk ordered, otherwise it comes in 50 pounds bags.</t>
  </si>
  <si>
    <t>Marketing (not labor)</t>
  </si>
  <si>
    <t xml:space="preserve">     Enter the minutes per day of labor spent per batch:</t>
  </si>
  <si>
    <t>batch</t>
  </si>
  <si>
    <t>trip</t>
  </si>
  <si>
    <t>Calculate pick up cost after processing in the section below.</t>
  </si>
  <si>
    <t xml:space="preserve">Enter a cost per batch for picking up the birds after processing. This should include fuel, labor, and other vehicle costs. </t>
  </si>
  <si>
    <t>Hired Delivery, Method of Billing</t>
  </si>
  <si>
    <t>Processing Costs, On Farm</t>
  </si>
  <si>
    <t>Processing Costs, Mobile Unit</t>
  </si>
  <si>
    <t>Depr per Year</t>
  </si>
  <si>
    <t>Include interest rate?</t>
  </si>
  <si>
    <t>These costs come directly from the Processing sheet.</t>
  </si>
  <si>
    <t>Larger Depr Items, Equipment</t>
  </si>
  <si>
    <t>Larger Depr Items, Facilities</t>
  </si>
  <si>
    <t>Smaller Depr Items</t>
  </si>
  <si>
    <t>Larger Depr Items, Processing</t>
  </si>
  <si>
    <t>Smaller Depr Items, Processing</t>
  </si>
  <si>
    <t>Housing and fencing.</t>
  </si>
  <si>
    <t xml:space="preserve">Costs for building and larger supplies for On Farm Processing if applicable. </t>
  </si>
  <si>
    <t>This cell is only for linking to the Summary sheet, because transportation costs and labor are separated.</t>
  </si>
  <si>
    <t xml:space="preserve">This mortality rate is the percentage of the chicks originally purchased. </t>
  </si>
  <si>
    <t xml:space="preserve">These are fees for splitting, harvesting organs, smoking, etc. Enter the total cost per bird for all specialty processing. </t>
  </si>
  <si>
    <t>This includes costs like farmers market fees, the cost of running a website, etc.</t>
  </si>
  <si>
    <t>Other (gloves, aprons, etc)</t>
  </si>
  <si>
    <r>
      <t>Processing Facility</t>
    </r>
    <r>
      <rPr>
        <i/>
        <sz val="10"/>
        <color theme="1"/>
        <rFont val="Arial"/>
        <family val="2"/>
      </rPr>
      <t xml:space="preserve"> (Select one)</t>
    </r>
  </si>
  <si>
    <t>Birds Processed per Batch</t>
  </si>
  <si>
    <t>Minimum # of Birds</t>
  </si>
  <si>
    <t>Start Up Fee</t>
  </si>
  <si>
    <t>Processing Fee</t>
  </si>
  <si>
    <t>Other Processing Fees</t>
  </si>
  <si>
    <t>Fee per Bird</t>
  </si>
  <si>
    <t>Other Costs</t>
  </si>
  <si>
    <t>Cost for Meat Pick Up</t>
  </si>
  <si>
    <t>Pick Up Cost</t>
  </si>
  <si>
    <t>Delivery Cost</t>
  </si>
  <si>
    <t>Cost per Delivery</t>
  </si>
  <si>
    <t>Product Sold Retail</t>
  </si>
  <si>
    <t>Product Sold Wholesale</t>
  </si>
  <si>
    <t>Packaged Weight (lbs)</t>
  </si>
  <si>
    <t>miles/year</t>
  </si>
  <si>
    <t>Weeks to Market</t>
  </si>
  <si>
    <t>Freedom Ranger (10 wks)</t>
  </si>
  <si>
    <t>Cornish Cross (7.5 wks)</t>
  </si>
  <si>
    <t xml:space="preserve">     Enter the total hours spent on marketing per year:</t>
  </si>
  <si>
    <t>hours/year</t>
  </si>
  <si>
    <r>
      <t xml:space="preserve">Use estimated feed consumption or enter your own? </t>
    </r>
    <r>
      <rPr>
        <i/>
        <sz val="10"/>
        <color theme="1"/>
        <rFont val="Arial"/>
        <family val="2"/>
      </rPr>
      <t>(Select one)</t>
    </r>
  </si>
  <si>
    <t>Total Birds Processed per Year</t>
  </si>
  <si>
    <t xml:space="preserve">On Farm processing is not legal in the state of Kentucky, or several other states. Please contact the Department of Agriculture in your state for On Farm processing regulations. </t>
  </si>
  <si>
    <t xml:space="preserve">This is applicable to the Kentucky Mobile Processing Unit only. If using in another state, costs may need to be adjusted. </t>
  </si>
  <si>
    <t>Mobile Processing Unit (KY only)</t>
  </si>
  <si>
    <t xml:space="preserve">The producer is only responsible for overtime labor for the MPU agent if they are there for longer than 7.5 hours in one day. </t>
  </si>
  <si>
    <t>Processing Labor Costs, Processors and MPU Agent</t>
  </si>
  <si>
    <t>Total Processing Costs per Batch</t>
  </si>
  <si>
    <t>Total Processing Costs per Year</t>
  </si>
  <si>
    <t>Total Processing Costs per Bird</t>
  </si>
  <si>
    <t xml:space="preserve">This is for transportation to farmer markets, and other venues. </t>
  </si>
  <si>
    <t>Cost / Year</t>
  </si>
  <si>
    <t>Total Miles for Marketing</t>
  </si>
  <si>
    <r>
      <t>Use estimated dressing % or enter your own?</t>
    </r>
    <r>
      <rPr>
        <i/>
        <sz val="10"/>
        <color theme="1"/>
        <rFont val="Arial"/>
        <family val="2"/>
      </rPr>
      <t xml:space="preserve"> (Select one)</t>
    </r>
  </si>
  <si>
    <t>Chicks Purchased per Batch</t>
  </si>
  <si>
    <t>Total Chicks Purchased per Year</t>
  </si>
  <si>
    <t>Live Finished Weight (lbs)</t>
  </si>
  <si>
    <t xml:space="preserve">     If you selected "Other," enter the number of weeks to finish:</t>
  </si>
  <si>
    <t>weeks</t>
  </si>
  <si>
    <t>Pounds/ Year</t>
  </si>
  <si>
    <t>Revenue/ Batch</t>
  </si>
  <si>
    <t>Revenue/ Year</t>
  </si>
  <si>
    <t>Expected Gross Returns</t>
  </si>
  <si>
    <t>Total Fixed and Variable Costs</t>
  </si>
  <si>
    <t>Total Fixed Costs</t>
  </si>
  <si>
    <t>Fixed Costs</t>
  </si>
  <si>
    <t>Total Variable Costs</t>
  </si>
  <si>
    <t>Variable Costs</t>
  </si>
  <si>
    <t>Total Birds Processed/Batch</t>
  </si>
  <si>
    <t>Total Birds Processed/Year</t>
  </si>
  <si>
    <t>The "Sale Price" here is the average price per pound of meat sold.</t>
  </si>
  <si>
    <t xml:space="preserve">     Total hours spent marketing per batch:</t>
  </si>
  <si>
    <t xml:space="preserve">This does not include a transportation cost for driving to and from venues for sales. </t>
  </si>
  <si>
    <t>Method of Transportation for Processing</t>
  </si>
  <si>
    <t>Hired Trucking for Processing</t>
  </si>
  <si>
    <t>miles</t>
  </si>
  <si>
    <t>Processing Transportation, Delivery and Pick Up per Batch</t>
  </si>
  <si>
    <t>Owned Transportation Cost for Processing per Batch</t>
  </si>
  <si>
    <t>Owned Transportation Cost for Processing per Bird</t>
  </si>
  <si>
    <t>Costs ($/mile), Processing Transportation</t>
  </si>
  <si>
    <t>Hired Transportation Cost for Processing per Batch</t>
  </si>
  <si>
    <t>Hired Transportation Cost for Processing per Bird</t>
  </si>
  <si>
    <t>Hired Cost per Batch, NOT including labor if Hired &amp; Calculate</t>
  </si>
  <si>
    <t>Fuel and Other Costs per Batch, NOT including labor</t>
  </si>
  <si>
    <t>Hired Transportation Cost for Processing per Year</t>
  </si>
  <si>
    <t>Owned Transportation Cost for Processing per Year</t>
  </si>
  <si>
    <t>Broilers % of Total Sales</t>
  </si>
  <si>
    <t>Marketing Transportation Costs per Year</t>
  </si>
  <si>
    <t>Marketing Transportation Costs per Batch</t>
  </si>
  <si>
    <t>Marketing Transportation Costs per Bird</t>
  </si>
  <si>
    <t>Marketing Transportation, Annual Costs</t>
  </si>
  <si>
    <t>Costs ($/mile), Annual Marketing Transportation</t>
  </si>
  <si>
    <t>Fuel and Other Costs per Batch, NOT including Labor</t>
  </si>
  <si>
    <t>Transportation WITHOUT labor, per batch</t>
  </si>
  <si>
    <t>Transportation Labor Hours, per batch</t>
  </si>
  <si>
    <t>owned</t>
  </si>
  <si>
    <t>hired&amp;calc/market</t>
  </si>
  <si>
    <t>hired&amp;enter/market</t>
  </si>
  <si>
    <t xml:space="preserve">these two rows are used to link to the summary sheet, because labor and other costs and separated there. </t>
  </si>
  <si>
    <t>On Farm (not legal in KY)</t>
  </si>
  <si>
    <t xml:space="preserve">NOTE: If you selected ON FARM processing, there is no processing transportation cost. </t>
  </si>
  <si>
    <t xml:space="preserve">Please enter your marketing transportation cost below. </t>
  </si>
  <si>
    <t>On farm</t>
  </si>
  <si>
    <t xml:space="preserve">This is based off of the mortality rates entered below. </t>
  </si>
  <si>
    <t xml:space="preserve">   - Check about the waste water disposal. Dr Clark is who told me that users are responsible for the waste water, but the link doesn't make it clear either way</t>
  </si>
  <si>
    <t>*Entered* Feed Intake</t>
  </si>
  <si>
    <t>Not Other</t>
  </si>
  <si>
    <t>for formatting the table with production characteristics and the row where they enter the weeks to finish</t>
  </si>
  <si>
    <t>days to market, used to calculate the hours of production labor</t>
  </si>
  <si>
    <t xml:space="preserve">It is estimated that 200-250 birds per day can be processed at the Kentucky MPU. </t>
  </si>
  <si>
    <t>Livestock Guardian Dog</t>
  </si>
  <si>
    <t>they can always 0 out costs they don't use on the depr items sheet</t>
  </si>
  <si>
    <t xml:space="preserve">If you use the dog for other livestock or recreational purposes, you may not want to account for the full cost here. </t>
  </si>
  <si>
    <t>Dog Maintenance</t>
  </si>
  <si>
    <t>Trailer and storage costs for a refrigerator, deep freezer, feed bin, and dog if applicable.</t>
  </si>
  <si>
    <t xml:space="preserve">Enter the variable costs per Livestock Guardian Dog per batch, such as the feed and vet bills. </t>
  </si>
  <si>
    <t>Costs for On Farm or Mobile Processing Unit processing if applicable.</t>
  </si>
  <si>
    <t>Would you like to include a forage replacement rate?</t>
  </si>
  <si>
    <t>Todd Clark said his birds ate the same amount of feed, but were heavier at harvest date on *short* forage</t>
  </si>
  <si>
    <t>Based on what he said the live weight would increase, change FCR, and increase pounds sold, but not affect feed intake</t>
  </si>
  <si>
    <t xml:space="preserve">There is *not* a lot of reliable data on this, but it has been a little while since I looked, so it is worth searching for again. </t>
  </si>
  <si>
    <t>Broiler Production Efficiency Data and Questions</t>
  </si>
  <si>
    <t>Transportation Costs, Processing &amp; Marketing for Broilers</t>
  </si>
  <si>
    <t>Processing Costs for Broilers</t>
  </si>
  <si>
    <t>Depreciable Items for Broilers</t>
  </si>
  <si>
    <t xml:space="preserve">Includes the cost of fuel and other costs for processing and marketing. </t>
  </si>
  <si>
    <t>Sale Price $/Packaged Lb</t>
  </si>
  <si>
    <t>This accounts for processed birds not sold due to storage losses, samples given, etc.. This should not account for mortality while the birds are alive.</t>
  </si>
  <si>
    <t xml:space="preserve">Look at Table 1 below for more production characteristic details. The weeks are how long it takes to finish a bird, from chick to harvest date. </t>
  </si>
  <si>
    <t xml:space="preserve">     Number of birds lost in the field:</t>
  </si>
  <si>
    <t xml:space="preserve">This may be for things like grit, kelp, mineral, or other supplements. </t>
  </si>
  <si>
    <t>Other Feed/Supplements</t>
  </si>
  <si>
    <t xml:space="preserve">This is the total number of birds that have died between purchase and processing. </t>
  </si>
  <si>
    <t>Feed efficiencies are always done on a group basis so you will definitely have to adjust for death loss. Make sure you have the most recent version of the how much will a chicken eat factsheet we had a couple of errors in the first version.</t>
  </si>
  <si>
    <t>Shipping cost varies depending on the number of chicks ordered, as well as the shipping distance and date.</t>
  </si>
  <si>
    <t>This is the overall mortality rate for the total birds and chicks lost.</t>
  </si>
  <si>
    <t xml:space="preserve">This is the combined number of birds lost in the brooder and in the field. </t>
  </si>
  <si>
    <t xml:space="preserve">     Total mortaily rate of:</t>
  </si>
  <si>
    <t xml:space="preserve">     Total number of birds lost per batch:</t>
  </si>
  <si>
    <t xml:space="preserve">     Total number of birds proccessed per batch:</t>
  </si>
  <si>
    <t>Production Data</t>
  </si>
  <si>
    <t>Drop Down List Option</t>
  </si>
  <si>
    <t>Sheets</t>
  </si>
  <si>
    <t>Location/Cell</t>
  </si>
  <si>
    <t>G9</t>
  </si>
  <si>
    <t>Allows the user to select breed. This has the potential to affect feed intake, days to finish, dressing percentage, and mortality rate.</t>
  </si>
  <si>
    <t>If the user selects "Other" they will need to enter finishing weight, weeks to market, and feed intake</t>
  </si>
  <si>
    <t>G13</t>
  </si>
  <si>
    <t>User can either enter their own dressing percentage or use the one provided.</t>
  </si>
  <si>
    <t>G22</t>
  </si>
  <si>
    <t>User selects housing type. This affects which fencing options are available, and mortality rates in the field</t>
  </si>
  <si>
    <t>G23</t>
  </si>
  <si>
    <t>If the user selects "mobile" housing, they will also select which of these best describes their housing type.</t>
  </si>
  <si>
    <t xml:space="preserve">If Stationary is selected, it is assumed it is a coop structure. </t>
  </si>
  <si>
    <t>G25</t>
  </si>
  <si>
    <t>Depending on the housing type, different options are available</t>
  </si>
  <si>
    <t>Notes, Reasoning</t>
  </si>
  <si>
    <t>If changes need to be made to either of those options, it needs to be done in the cells to the right, highlighted in yellow&gt;&gt;&gt;</t>
  </si>
  <si>
    <t>G30</t>
  </si>
  <si>
    <t>User can either enter their own feed intake or use the one provided.</t>
  </si>
  <si>
    <t xml:space="preserve">If the user selected "other" for the breed, they must enter their own dressing percentage and feed intake. The "estimated" option will disappear. </t>
  </si>
  <si>
    <t>G35</t>
  </si>
  <si>
    <t>User selects how the buy feed. If they select "ton" the option to add a cost for a feed bin appears on the Depreciable Items sheet.</t>
  </si>
  <si>
    <t>G41</t>
  </si>
  <si>
    <t>This affects the mortality rate in the brooder and in the field</t>
  </si>
  <si>
    <t xml:space="preserve">In the future, it may affect the forage replacement rate if we decide to include it. </t>
  </si>
  <si>
    <t>G43</t>
  </si>
  <si>
    <t>G47</t>
  </si>
  <si>
    <t>User selects if they enter their own or use the estimate mortality rate in the BROODER</t>
  </si>
  <si>
    <t>User selects if they enter their own or use the estimate mortality rate in the FIELD</t>
  </si>
  <si>
    <t>G55</t>
  </si>
  <si>
    <t xml:space="preserve">User selects if they would like to include labor or not. This updates for all related sheets - transportation, processing, etc.. If they select "no" a warning message shows up in the Summary sheet. </t>
  </si>
  <si>
    <t>G61</t>
  </si>
  <si>
    <t xml:space="preserve">User chooses how they sell the processed birds. This affects the items that show up on the Depreciable Items sheet. </t>
  </si>
  <si>
    <t>If the user selects "stationary," chicken wire and both, wire &amp; netting will appear. They will not see those options if they choose "mobile."</t>
  </si>
  <si>
    <t>I made this ^ possible with an If equation in the cells to the left &lt;&lt;&lt;</t>
  </si>
  <si>
    <t>Processing</t>
  </si>
  <si>
    <t>E4</t>
  </si>
  <si>
    <t xml:space="preserve">User selects which facility birds will be processed at. </t>
  </si>
  <si>
    <t>Not all states have mobile units, and not all states allow for on farm processing, but both options are available for utility.</t>
  </si>
  <si>
    <t>E11</t>
  </si>
  <si>
    <t>User chooses which best describes how they are charged for processing at the local facility</t>
  </si>
  <si>
    <t>This determines which data entry cells appear and calculates the cost appropriately</t>
  </si>
  <si>
    <t>L36</t>
  </si>
  <si>
    <t xml:space="preserve">If the user selects "On Farm" processing, this cell gives them the ability ot include or void interest on their depreciable items. </t>
  </si>
  <si>
    <t>Transportation</t>
  </si>
  <si>
    <t>F4</t>
  </si>
  <si>
    <t>Allows the user to determine how to account for transportation costs related to processing and marketing</t>
  </si>
  <si>
    <t>F5</t>
  </si>
  <si>
    <t>If "hired" trucking, user chooses which method best describes how they are charged for transportation</t>
  </si>
  <si>
    <t xml:space="preserve">This determines which data entry cells appear, and calculates the cost appropriately. </t>
  </si>
  <si>
    <t>D11</t>
  </si>
  <si>
    <t>This is for picking up the processed birds from the facility for "hired" trucking only. User selects if they calculate or enter the pick up costs.</t>
  </si>
  <si>
    <t>D28</t>
  </si>
  <si>
    <t>D42</t>
  </si>
  <si>
    <t>User can either entere or calculate "other" costs associated with MARKETING transportation.</t>
  </si>
  <si>
    <t>User can either calculate or enter the "other" costs per mile associated with PROCESSING transportation.</t>
  </si>
  <si>
    <t xml:space="preserve">For D28 and D42 - they calculate the costs in the chart to the right "Calculated Other Costs", which means Annual Costs are the same for both. May be something that needs to change in the future. </t>
  </si>
  <si>
    <t>User can enter the number of depreciable items, or use the suggested amount based on a predetermined stocking rate.</t>
  </si>
  <si>
    <t xml:space="preserve">User can enter the useful life in years for each item or use the suggested useful life. </t>
  </si>
  <si>
    <t>F6</t>
  </si>
  <si>
    <t>User can decide whether or not to include an interest rate for the depreciable items. If "no," then interest rate disappears and is not included in the equations</t>
  </si>
  <si>
    <t>Hidden Cells</t>
  </si>
  <si>
    <t xml:space="preserve">These are hidden in case we ever decide to include forage rate, to make it easier to add in in the future. </t>
  </si>
  <si>
    <t xml:space="preserve">There is also a "yes, no" drop down list for if the user woud like to include forage replacement. </t>
  </si>
  <si>
    <t xml:space="preserve">Might need to change the "yes, no" to an "estimated, my own" drop down list. </t>
  </si>
  <si>
    <t>If any more cells that need this option are added, use this version instead of the one below, which is specifically for dressing percentage and feed intake, based on breed selected.</t>
  </si>
  <si>
    <r>
      <t>Mobile Processing Unit</t>
    </r>
    <r>
      <rPr>
        <i/>
        <sz val="10"/>
        <color theme="1"/>
        <rFont val="Arial"/>
        <family val="2"/>
      </rPr>
      <t xml:space="preserve"> (KY only)</t>
    </r>
  </si>
  <si>
    <r>
      <t xml:space="preserve">On Farm </t>
    </r>
    <r>
      <rPr>
        <i/>
        <sz val="10"/>
        <color theme="1"/>
        <rFont val="Arial"/>
        <family val="2"/>
      </rPr>
      <t>(not legal in KY)</t>
    </r>
  </si>
  <si>
    <t xml:space="preserve">Using the hidden sheet specifically for drop down list options makes it easier to update all data validation, conditional formatting, and equations at the same time and decreases the risk of making a mistake (versus typing out the options and updating everything individually). </t>
  </si>
  <si>
    <t xml:space="preserve">When creating a new equation, list, error message, or conditional formatting rule, link it to the options on the Drop Down List sheet. </t>
  </si>
  <si>
    <t xml:space="preserve">If the options ever need to be changed, they should be made in the Drop Down List sheet. It will automatically update all equations, data validations, and conditional formatting. </t>
  </si>
  <si>
    <t>There is a Word document - "Data Validation - Lists and Error Messages" that explains how to create both.</t>
  </si>
  <si>
    <t>There is a Word document - "Conditional Formatting in Excel" that explains how to make a new rule, some troubleshooting steps, viewing rules, and making edits.</t>
  </si>
  <si>
    <t>All conditional formatting done in this workbook is changing the font color (white or red) based on if cell X = cell Y. How to do that is explained under the "Creating a New Rule" section in the Word document.</t>
  </si>
  <si>
    <t xml:space="preserve">To figure out what determines the data in a cell, under the Formulas tab select "Trace Precedents." It will draw arrows to the cells that formulate what is in that cell. </t>
  </si>
  <si>
    <t>To figure out which other cells a specific cell affects, under the Forumlas tab select "Trace Dependents." Arrows will show which cells depend on what is entered in the selected cell.</t>
  </si>
  <si>
    <t>Once you are finished with that information, under the Formulas tab select "Remove Arrows."</t>
  </si>
  <si>
    <t>NOTES &amp; REMINDERS FOR MAKING CHANGES:</t>
  </si>
  <si>
    <t>Drop Down List sheet</t>
  </si>
  <si>
    <t>Condition Formatting Notes</t>
  </si>
  <si>
    <t>Data Validation Notes</t>
  </si>
  <si>
    <t>Tracing Precedent and Dependent cells for equations</t>
  </si>
  <si>
    <t>There are lists on the Production Data, Processing, Transportation, and Depreciable Items sheets.</t>
  </si>
  <si>
    <t>There are conditional formatting rules on every sheet that the user interacts with - Production Data, Processing, Transportation, Depreciable Items, Summary</t>
  </si>
  <si>
    <t>There are error messages on the Production Data sheet only.</t>
  </si>
  <si>
    <t>Select the cell that you would like to change the formatting of.</t>
  </si>
  <si>
    <t>Under the "Home" tab, select "Conditional Formatting," then select "New Rule"</t>
  </si>
  <si>
    <t>Select "Use a formula to determine which cells to format"   - all formatting done in this workbook uses this option</t>
  </si>
  <si>
    <t>Enter the formula in the "Format values where this value is true:" box</t>
  </si>
  <si>
    <t>Then select "Format" and determins which changes you want to make if the formula entered is true, maybe turning font white or red, or erasing the background fill in the cell. There are many options.</t>
  </si>
  <si>
    <t>Hit OK, then OK again</t>
  </si>
  <si>
    <t>Check the Word document for details about viewing rules, editing, and troubleshooting.</t>
  </si>
  <si>
    <t>Quick How To for Creating a List</t>
  </si>
  <si>
    <t>Select the cell you would like to enter a drop down list in.</t>
  </si>
  <si>
    <t>Under the "Data" tab, select "Data Validation"</t>
  </si>
  <si>
    <t>Under the "Settings" tab, select "List" under the "Allow" section</t>
  </si>
  <si>
    <t xml:space="preserve">Then enter or select the cells for the drop down list in the "Source" section. Note: instead of entering options a, b, and c, it is best to create a separate list in hidden cells or a sheet to make editing easier in the future </t>
  </si>
  <si>
    <t>Hit OK</t>
  </si>
  <si>
    <t>Blue arrows mean no errors are found, red arrows mean there are errors. These are errors picked up by excel, not necessarily something that we may want to change in an equation.</t>
  </si>
  <si>
    <t xml:space="preserve">The only thing I do not know is how you view the connections to cells in other sheets. To do this for finding the precedents, I either remember or write down the cells in the formula that come from other sheets. </t>
  </si>
  <si>
    <t>There is an easy way to figure out which cells are related to each other within a sheet - either how a cell impacts other cells, or which cells impact it. This is useful for tracking the source of information or tracking an error.</t>
  </si>
  <si>
    <t>There are hidden cells that make it easier to link the infromation from the mortality rate charts to the estimated mortality rate shown to the user.</t>
  </si>
  <si>
    <t>Mortaliy rate in the BROODER is broken down by the cornish cross and other breeds</t>
  </si>
  <si>
    <t>Mortality rate in the FIELD is broken down by Mobile and Stationary housing</t>
  </si>
  <si>
    <t xml:space="preserve">The cells highlighted in yellow that say "Not Other" and "Other" are used to make conditional formatting easier when the user selects "Other" as the breed. </t>
  </si>
  <si>
    <t>There are cells hidden here to make adding in froage replacement rate easier in the future.</t>
  </si>
  <si>
    <t xml:space="preserve"> We would need to find more infromation about it, and to determine which way we want to add it.</t>
  </si>
  <si>
    <t>Some are drop down lists that would be moved farther up in the Production Data sheet, other are tables if we ever found qualiy information to include here.</t>
  </si>
  <si>
    <t xml:space="preserve">There is also a table that was once meant to give an estimated labor time. Due to a crazy number of variables, we decided not to include it. </t>
  </si>
  <si>
    <t xml:space="preserve">These cells change to formatting for the row where the user enters the weeks to finish, and the row at the bottom of Table 1, Production Characteristics. </t>
  </si>
  <si>
    <t xml:space="preserve">Under each section (hired, owned processing, owned marketing) there is a row that calculates the cost WIHTOUT labor. This is because transportation labor is broken out separately on the Summary sheet. </t>
  </si>
  <si>
    <t>Total Cost, per batch</t>
  </si>
  <si>
    <t>Labor Cost, per batch</t>
  </si>
  <si>
    <t>These are split out for a variety of scenarios to make linking to the Summary sheet easier - Owned transportation for everything, Hired transportation and calculated meat pick up costs, Hired transportation and entered meat pick up costs, as well as for On Farm processing (because there will only be marketing transportation, not processing</t>
  </si>
  <si>
    <t xml:space="preserve">make sure it is correct for On Farm as well. </t>
  </si>
  <si>
    <t xml:space="preserve">There are hidden cells at the bottom of the sheet, highlighted in orange, that break out the transportation costs WIHTOUT labor and the number of labor hours. </t>
  </si>
  <si>
    <t>There is a single hidden cell at the bottom of this sheet, used to show the days to finish, to make calculating production labor easier under the Variable Costs section</t>
  </si>
  <si>
    <t>Summary sheet</t>
  </si>
  <si>
    <t>Transportation sheet</t>
  </si>
  <si>
    <t>Production Data sheet</t>
  </si>
  <si>
    <t>Hidden Cells on Various Sheets</t>
  </si>
  <si>
    <t xml:space="preserve"> If the last cell = HiredCalculate, then the Owned Transportation section will also appear for processing. If the last cell = HiredEnter, then the Owned transportation for processing will remain hidden. </t>
  </si>
  <si>
    <t>Hidden cells at the bottom highlighted in yellow are used to conditionally format which sections appear.</t>
  </si>
  <si>
    <t>Some cells in the Drop Down List sheet have "IF" equations in them - B16, B27, B28 - these are for the the estimated feed intake and dressing percentage and the fencing options.</t>
  </si>
  <si>
    <t>For Summary sheet</t>
  </si>
  <si>
    <t>For Production Data Table  on Flock Production Data Sheet</t>
  </si>
  <si>
    <t>Quick How To for Conditional Formatting, New Rule:</t>
  </si>
  <si>
    <t>per chick</t>
  </si>
  <si>
    <t>per batch</t>
  </si>
  <si>
    <t xml:space="preserve">     Total purchase and shipping cost:</t>
  </si>
  <si>
    <t xml:space="preserve">     Number of chicks lost in the brooder:</t>
  </si>
  <si>
    <r>
      <rPr>
        <i/>
        <sz val="10"/>
        <color theme="1"/>
        <rFont val="Arial"/>
        <family val="2"/>
      </rPr>
      <t>Total</t>
    </r>
    <r>
      <rPr>
        <sz val="10"/>
        <color theme="1"/>
        <rFont val="Arial"/>
        <family val="2"/>
      </rPr>
      <t xml:space="preserve"> Killing Cones</t>
    </r>
  </si>
  <si>
    <t xml:space="preserve">See "Calculated Other Costs" table above to assist with estimating the $/mile cost. </t>
  </si>
  <si>
    <t>Table 1: Calculated Other Costs</t>
  </si>
  <si>
    <t>Table 2: Cents per Mile of Other Transportation Costs (2015)</t>
  </si>
  <si>
    <r>
      <t xml:space="preserve">Other </t>
    </r>
    <r>
      <rPr>
        <i/>
        <sz val="10"/>
        <color theme="1"/>
        <rFont val="Arial"/>
        <family val="2"/>
      </rPr>
      <t>(see Table 1)</t>
    </r>
  </si>
  <si>
    <t>Enter purchase price per chick:</t>
  </si>
  <si>
    <t>Enter the total other feed costs and supplements per batch:</t>
  </si>
  <si>
    <t>Total Feed Intake (lbs/bird) NOT adjusted for mortality</t>
  </si>
  <si>
    <t>Total Feed Intake (lbs/bird) adjusted for mortality</t>
  </si>
  <si>
    <t>Feed Conversion Ratio (NOT adjuster for mortality)</t>
  </si>
  <si>
    <t>Feed Conversion Ratio (adjusted for mortality)</t>
  </si>
  <si>
    <t>Grit</t>
  </si>
  <si>
    <t>Oyster Shells</t>
  </si>
  <si>
    <t>Kelp</t>
  </si>
  <si>
    <t>Mineral</t>
  </si>
  <si>
    <t>Dewormer</t>
  </si>
  <si>
    <t>chicks and birds eating only commerical food do not need it. Birds given other "treats" need it to help grind. However, do they need it in a pasture setting, since small rocks, dirt, etc. will be present, like a natural grit?</t>
  </si>
  <si>
    <t>Initial Pounds</t>
  </si>
  <si>
    <t>$</t>
  </si>
  <si>
    <t>$/lb</t>
  </si>
  <si>
    <t>I do not think this is something given to broilers, but something to remember for layers</t>
  </si>
  <si>
    <t>I think this may also mainly be a layer addition. http://www.treatsforchickens.com/the-nesting-box/sea-kelp-for-poultry/</t>
  </si>
  <si>
    <t>1-2% of feed volume</t>
  </si>
  <si>
    <t>2% of feed supply</t>
  </si>
  <si>
    <t>food grade. http://www.communitychickens.com/using-diatomaceous-earth-in-backyard-poultry-keeping/</t>
  </si>
  <si>
    <t>As long as they buy a balanced diet, these should already be included.</t>
  </si>
  <si>
    <t>Total Labor</t>
  </si>
  <si>
    <t>Total Hours Processing</t>
  </si>
  <si>
    <t>Total Processing Labor</t>
  </si>
  <si>
    <r>
      <t xml:space="preserve">Processors </t>
    </r>
    <r>
      <rPr>
        <i/>
        <sz val="10"/>
        <color theme="1"/>
        <rFont val="Arial"/>
        <family val="2"/>
      </rPr>
      <t>(not MPU agent)</t>
    </r>
  </si>
  <si>
    <r>
      <t xml:space="preserve">Overtime </t>
    </r>
    <r>
      <rPr>
        <i/>
        <sz val="10"/>
        <color theme="1"/>
        <rFont val="Arial"/>
        <family val="2"/>
      </rPr>
      <t>(MPU agent only)</t>
    </r>
  </si>
  <si>
    <t>The "Estimated" feed intake rates are adjusted for the mortality rate.</t>
  </si>
  <si>
    <t>Vaccum Bags</t>
  </si>
  <si>
    <t>Birds/Year</t>
  </si>
  <si>
    <t>Product through Retail</t>
  </si>
  <si>
    <t>Product through Wholesale</t>
  </si>
  <si>
    <t>Product NOT Sold</t>
  </si>
  <si>
    <t>Packaged Pounds/Year</t>
  </si>
  <si>
    <t>% of Product</t>
  </si>
  <si>
    <t>Totals</t>
  </si>
  <si>
    <t>dog/batch</t>
  </si>
  <si>
    <t>bales/batch</t>
  </si>
  <si>
    <t>chicks/batch</t>
  </si>
  <si>
    <t>Cost / Processed Bird</t>
  </si>
  <si>
    <t>Pounds/ Batch</t>
  </si>
  <si>
    <t>% of Use</t>
  </si>
  <si>
    <t>pounds per batch</t>
  </si>
  <si>
    <t>pounds per year</t>
  </si>
  <si>
    <t>used to convert into bags or tons above</t>
  </si>
  <si>
    <t>Feed Intake</t>
  </si>
  <si>
    <t xml:space="preserve">The price of the chick includes shipping cost. Cost per processed bird accounts for death loss. </t>
  </si>
  <si>
    <t>Sale Price       $/Pound</t>
  </si>
  <si>
    <t>Processed Bird</t>
  </si>
  <si>
    <t>Batch</t>
  </si>
  <si>
    <t>Year</t>
  </si>
  <si>
    <t>birds/batch</t>
  </si>
  <si>
    <r>
      <t xml:space="preserve">Start Up Fee </t>
    </r>
    <r>
      <rPr>
        <i/>
        <sz val="10"/>
        <color theme="1"/>
        <rFont val="Arial"/>
        <family val="2"/>
      </rPr>
      <t>(includes 50 birds)</t>
    </r>
  </si>
  <si>
    <t xml:space="preserve">Trainings are for all processors, and are renewed every two years. </t>
  </si>
  <si>
    <t>Enter Separate Costs</t>
  </si>
  <si>
    <t>Enter Total Cost per Chick</t>
  </si>
  <si>
    <t>Enter Total Cost per Batch</t>
  </si>
  <si>
    <r>
      <t xml:space="preserve">How would you prefer to enter the purchasing and shipping costs for chicks? </t>
    </r>
    <r>
      <rPr>
        <i/>
        <sz val="10"/>
        <color theme="1"/>
        <rFont val="Arial"/>
        <family val="2"/>
      </rPr>
      <t>(Select one)</t>
    </r>
  </si>
  <si>
    <t>Estimates for total birds processed per hour - Low Efficiency, 20 birds/hr. Medium Efficiency, 30 birds/hr. High Efficiency, 50 birds/hr.</t>
  </si>
  <si>
    <t>MPU Trucking Charge</t>
  </si>
  <si>
    <t>processors/batch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</si>
</sst>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
    <numFmt numFmtId="165" formatCode="0.0%"/>
    <numFmt numFmtId="166" formatCode="&quot;$&quot;#,##0.00"/>
    <numFmt numFmtId="167" formatCode="&quot;$&quot;#,##0"/>
    <numFmt numFmtId="168" formatCode="0.0000"/>
  </numFmts>
  <fonts count="38" x14ac:knownFonts="1">
    <font>
      <sz val="11"/>
      <color theme="1"/>
      <name val="Calibri"/>
      <family val="2"/>
      <scheme val="minor"/>
    </font>
    <font>
      <b/>
      <sz val="18"/>
      <color theme="3"/>
      <name val="Cambria"/>
      <family val="2"/>
      <scheme val="major"/>
    </font>
    <font>
      <b/>
      <sz val="11"/>
      <color theme="3"/>
      <name val="Calibri"/>
      <family val="2"/>
      <scheme val="minor"/>
    </font>
    <font>
      <b/>
      <sz val="11"/>
      <color theme="1"/>
      <name val="Calibri"/>
      <family val="2"/>
      <scheme val="minor"/>
    </font>
    <font>
      <sz val="11"/>
      <color theme="1"/>
      <name val="Calibri"/>
      <family val="2"/>
      <scheme val="minor"/>
    </font>
    <font>
      <sz val="11"/>
      <color rgb="FF0070C0"/>
      <name val="Calibri"/>
      <family val="2"/>
      <scheme val="minor"/>
    </font>
    <font>
      <sz val="9"/>
      <color theme="1"/>
      <name val="Arial"/>
      <family val="2"/>
    </font>
    <font>
      <i/>
      <sz val="11"/>
      <color theme="1"/>
      <name val="Calibri"/>
      <family val="2"/>
      <scheme val="minor"/>
    </font>
    <font>
      <sz val="9"/>
      <color indexed="81"/>
      <name val="Tahoma"/>
      <family val="2"/>
    </font>
    <font>
      <sz val="11"/>
      <color theme="0"/>
      <name val="Calibri"/>
      <family val="2"/>
      <scheme val="minor"/>
    </font>
    <font>
      <b/>
      <sz val="9"/>
      <color indexed="81"/>
      <name val="Tahoma"/>
      <family val="2"/>
    </font>
    <font>
      <b/>
      <sz val="10"/>
      <name val="Arial"/>
      <family val="2"/>
    </font>
    <font>
      <sz val="10"/>
      <color theme="1"/>
      <name val="Arial"/>
      <family val="2"/>
    </font>
    <font>
      <b/>
      <sz val="10"/>
      <color rgb="FF0000FF"/>
      <name val="Arial"/>
      <family val="2"/>
    </font>
    <font>
      <sz val="10"/>
      <name val="Arial"/>
      <family val="2"/>
    </font>
    <font>
      <i/>
      <u/>
      <sz val="10"/>
      <color theme="1"/>
      <name val="Arial"/>
      <family val="2"/>
    </font>
    <font>
      <i/>
      <sz val="10"/>
      <color theme="1"/>
      <name val="Arial"/>
      <family val="2"/>
    </font>
    <font>
      <b/>
      <i/>
      <sz val="10"/>
      <color rgb="FF0000FF"/>
      <name val="Arial"/>
      <family val="2"/>
    </font>
    <font>
      <b/>
      <i/>
      <sz val="10"/>
      <color rgb="FF0070C0"/>
      <name val="Arial"/>
      <family val="2"/>
    </font>
    <font>
      <b/>
      <sz val="10"/>
      <color rgb="FF0070C0"/>
      <name val="Arial"/>
      <family val="2"/>
    </font>
    <font>
      <sz val="10"/>
      <color rgb="FF0070C0"/>
      <name val="Arial"/>
      <family val="2"/>
    </font>
    <font>
      <b/>
      <sz val="10"/>
      <color theme="1"/>
      <name val="Arial"/>
      <family val="2"/>
    </font>
    <font>
      <b/>
      <sz val="10"/>
      <color theme="0"/>
      <name val="Arial"/>
      <family val="2"/>
    </font>
    <font>
      <sz val="10"/>
      <color theme="0"/>
      <name val="Arial"/>
      <family val="2"/>
    </font>
    <font>
      <b/>
      <sz val="10"/>
      <color rgb="FF000000"/>
      <name val="Arial"/>
      <family val="2"/>
    </font>
    <font>
      <sz val="10"/>
      <color rgb="FF000000"/>
      <name val="Arial"/>
      <family val="2"/>
    </font>
    <font>
      <b/>
      <i/>
      <sz val="10"/>
      <color theme="1"/>
      <name val="Arial"/>
      <family val="2"/>
    </font>
    <font>
      <b/>
      <sz val="12"/>
      <name val="Arial"/>
      <family val="2"/>
    </font>
    <font>
      <b/>
      <sz val="10"/>
      <color indexed="9"/>
      <name val="Arial"/>
      <family val="2"/>
    </font>
    <font>
      <b/>
      <sz val="14"/>
      <color theme="1"/>
      <name val="Arial"/>
      <family val="2"/>
    </font>
    <font>
      <i/>
      <sz val="10"/>
      <color rgb="FF0070C0"/>
      <name val="Arial"/>
      <family val="2"/>
    </font>
    <font>
      <i/>
      <sz val="10"/>
      <color rgb="FFFF0000"/>
      <name val="Arial"/>
      <family val="2"/>
    </font>
    <font>
      <b/>
      <sz val="11"/>
      <color rgb="FF0000FF"/>
      <name val="Calibri"/>
      <family val="2"/>
      <scheme val="minor"/>
    </font>
    <font>
      <sz val="11"/>
      <color rgb="FF1F497D"/>
      <name val="Calibri"/>
      <family val="2"/>
      <scheme val="minor"/>
    </font>
    <font>
      <b/>
      <sz val="12"/>
      <color theme="1"/>
      <name val="Arial"/>
      <family val="2"/>
    </font>
    <font>
      <b/>
      <i/>
      <sz val="12"/>
      <color theme="1"/>
      <name val="Arial"/>
      <family val="2"/>
    </font>
    <font>
      <b/>
      <u/>
      <sz val="10"/>
      <color theme="1"/>
      <name val="Arial"/>
      <family val="2"/>
    </font>
    <font>
      <b/>
      <sz val="9"/>
      <color theme="1"/>
      <name val="Arial"/>
      <family val="2"/>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indexed="44"/>
        <bgColor indexed="64"/>
      </patternFill>
    </fill>
    <fill>
      <patternFill patternType="solid">
        <fgColor rgb="FF99CCFF"/>
        <bgColor indexed="64"/>
      </patternFill>
    </fill>
    <fill>
      <patternFill patternType="solid">
        <fgColor indexed="18"/>
        <bgColor indexed="64"/>
      </patternFill>
    </fill>
    <fill>
      <patternFill patternType="solid">
        <fgColor rgb="FFFFC000"/>
        <bgColor indexed="64"/>
      </patternFill>
    </fill>
    <fill>
      <patternFill patternType="solid">
        <fgColor theme="1"/>
        <bgColor indexed="64"/>
      </patternFill>
    </fill>
  </fills>
  <borders count="16">
    <border>
      <left/>
      <right/>
      <top/>
      <bottom/>
      <diagonal/>
    </border>
    <border>
      <left/>
      <right/>
      <top/>
      <bottom style="medium">
        <color theme="4" tint="0.3999755851924192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double">
        <color auto="1"/>
      </left>
      <right style="thin">
        <color auto="1"/>
      </right>
      <top style="thin">
        <color auto="1"/>
      </top>
      <bottom style="thin">
        <color auto="1"/>
      </bottom>
      <diagonal/>
    </border>
    <border>
      <left/>
      <right/>
      <top/>
      <bottom style="medium">
        <color auto="1"/>
      </bottom>
      <diagonal/>
    </border>
    <border>
      <left/>
      <right/>
      <top style="medium">
        <color auto="1"/>
      </top>
      <bottom style="thin">
        <color auto="1"/>
      </bottom>
      <diagonal/>
    </border>
    <border>
      <left style="double">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6">
    <xf numFmtId="0" fontId="0" fillId="0" borderId="0"/>
    <xf numFmtId="0" fontId="1" fillId="0" borderId="0" applyNumberFormat="0" applyFill="0" applyBorder="0" applyAlignment="0" applyProtection="0"/>
    <xf numFmtId="0" fontId="2" fillId="0" borderId="1" applyNumberFormat="0" applyFill="0" applyAlignment="0" applyProtection="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cellStyleXfs>
  <cellXfs count="431">
    <xf numFmtId="0" fontId="0" fillId="0" borderId="0" xfId="0"/>
    <xf numFmtId="0" fontId="0" fillId="0" borderId="0" xfId="0" applyAlignment="1">
      <alignment horizontal="center" vertical="center"/>
    </xf>
    <xf numFmtId="0" fontId="3" fillId="0" borderId="0" xfId="0" applyFont="1"/>
    <xf numFmtId="2" fontId="0" fillId="3" borderId="2" xfId="0" applyNumberFormat="1" applyFill="1" applyBorder="1" applyAlignment="1">
      <alignment horizontal="center"/>
    </xf>
    <xf numFmtId="0" fontId="3" fillId="3" borderId="2" xfId="0" applyFont="1" applyFill="1" applyBorder="1" applyAlignment="1">
      <alignment horizontal="center"/>
    </xf>
    <xf numFmtId="0" fontId="0" fillId="0" borderId="0" xfId="0" applyAlignment="1">
      <alignment horizontal="center"/>
    </xf>
    <xf numFmtId="0" fontId="3" fillId="0" borderId="2" xfId="0" applyFont="1" applyBorder="1" applyAlignment="1">
      <alignment horizontal="center"/>
    </xf>
    <xf numFmtId="0" fontId="0" fillId="0" borderId="2" xfId="0" applyBorder="1" applyAlignment="1">
      <alignment horizontal="center"/>
    </xf>
    <xf numFmtId="2" fontId="0" fillId="0" borderId="2" xfId="0" applyNumberFormat="1" applyBorder="1" applyAlignment="1">
      <alignment horizontal="center"/>
    </xf>
    <xf numFmtId="0" fontId="6" fillId="0" borderId="2" xfId="0" applyFont="1" applyBorder="1" applyAlignment="1">
      <alignment vertical="center"/>
    </xf>
    <xf numFmtId="0" fontId="6" fillId="3" borderId="2" xfId="0" applyFont="1" applyFill="1" applyBorder="1" applyAlignment="1">
      <alignment vertical="center"/>
    </xf>
    <xf numFmtId="0" fontId="6" fillId="3" borderId="2" xfId="0" applyFont="1" applyFill="1" applyBorder="1" applyAlignment="1">
      <alignment horizontal="center" vertical="center"/>
    </xf>
    <xf numFmtId="0" fontId="3" fillId="0" borderId="2" xfId="0" applyFont="1" applyBorder="1" applyAlignment="1">
      <alignment horizontal="center" wrapText="1"/>
    </xf>
    <xf numFmtId="0" fontId="0" fillId="0" borderId="11" xfId="0" applyBorder="1"/>
    <xf numFmtId="0" fontId="7" fillId="0" borderId="12" xfId="0" applyFont="1" applyBorder="1" applyAlignment="1">
      <alignment horizontal="center"/>
    </xf>
    <xf numFmtId="0" fontId="7" fillId="0" borderId="12" xfId="0" applyFont="1" applyBorder="1" applyAlignment="1">
      <alignment horizontal="centerContinuous"/>
    </xf>
    <xf numFmtId="0" fontId="0" fillId="0" borderId="2" xfId="0" applyBorder="1" applyAlignment="1">
      <alignment horizontal="center" wrapText="1"/>
    </xf>
    <xf numFmtId="2" fontId="6" fillId="3" borderId="2" xfId="0" applyNumberFormat="1" applyFont="1" applyFill="1" applyBorder="1" applyAlignment="1">
      <alignment horizontal="center" vertical="center"/>
    </xf>
    <xf numFmtId="2" fontId="0" fillId="0" borderId="0" xfId="0" applyNumberFormat="1" applyAlignment="1">
      <alignment horizontal="center"/>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164" fontId="0" fillId="0" borderId="2" xfId="0" applyNumberFormat="1" applyBorder="1"/>
    <xf numFmtId="164" fontId="0" fillId="0" borderId="0" xfId="0" applyNumberFormat="1" applyAlignment="1">
      <alignment horizontal="center" vertical="center"/>
    </xf>
    <xf numFmtId="164" fontId="0" fillId="0" borderId="0" xfId="0" applyNumberFormat="1"/>
    <xf numFmtId="0" fontId="0" fillId="0" borderId="6" xfId="0" applyBorder="1"/>
    <xf numFmtId="165" fontId="5" fillId="0" borderId="0" xfId="0" applyNumberFormat="1" applyFont="1"/>
    <xf numFmtId="9" fontId="0" fillId="0" borderId="0" xfId="0" applyNumberFormat="1"/>
    <xf numFmtId="2" fontId="0" fillId="0" borderId="0" xfId="0" applyNumberFormat="1" applyAlignment="1">
      <alignment horizontal="center" vertical="center"/>
    </xf>
    <xf numFmtId="0" fontId="0" fillId="2" borderId="0" xfId="0" applyFill="1"/>
    <xf numFmtId="2" fontId="9" fillId="0" borderId="0" xfId="0" applyNumberFormat="1" applyFont="1" applyAlignment="1">
      <alignment horizontal="center"/>
    </xf>
    <xf numFmtId="0" fontId="12" fillId="0" borderId="0" xfId="0" applyFont="1" applyAlignment="1">
      <alignment vertical="center"/>
    </xf>
    <xf numFmtId="0" fontId="12" fillId="0" borderId="0" xfId="0" applyFont="1"/>
    <xf numFmtId="0" fontId="11" fillId="0" borderId="0" xfId="1" applyFont="1" applyBorder="1" applyAlignment="1">
      <alignment horizontal="left" vertical="center"/>
    </xf>
    <xf numFmtId="0" fontId="15" fillId="0" borderId="0" xfId="0" applyFont="1" applyAlignment="1">
      <alignment vertical="center"/>
    </xf>
    <xf numFmtId="0" fontId="18" fillId="0" borderId="0" xfId="0" applyFont="1" applyAlignment="1">
      <alignment horizontal="left" vertical="center"/>
    </xf>
    <xf numFmtId="0" fontId="19" fillId="0" borderId="0" xfId="0" applyFont="1" applyAlignment="1">
      <alignment vertical="center"/>
    </xf>
    <xf numFmtId="0" fontId="16" fillId="0" borderId="0" xfId="0" applyFont="1" applyAlignment="1">
      <alignment vertical="center"/>
    </xf>
    <xf numFmtId="9" fontId="14" fillId="0" borderId="0" xfId="4" applyFont="1" applyBorder="1" applyAlignment="1">
      <alignment horizontal="left" vertical="center"/>
    </xf>
    <xf numFmtId="9" fontId="18" fillId="0" borderId="0" xfId="4" applyFont="1" applyBorder="1" applyAlignment="1">
      <alignment horizontal="left" vertical="center"/>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center" vertical="center"/>
    </xf>
    <xf numFmtId="44" fontId="23" fillId="0" borderId="0" xfId="3" applyFont="1" applyAlignment="1">
      <alignment vertical="center"/>
    </xf>
    <xf numFmtId="44" fontId="20" fillId="0" borderId="0" xfId="3" applyFont="1" applyBorder="1" applyAlignment="1">
      <alignment horizontal="center" vertical="center"/>
    </xf>
    <xf numFmtId="44" fontId="23" fillId="0" borderId="0" xfId="3" applyFont="1" applyFill="1" applyBorder="1" applyAlignment="1">
      <alignment horizontal="center" vertical="center"/>
    </xf>
    <xf numFmtId="0" fontId="18" fillId="0" borderId="0" xfId="3" applyNumberFormat="1" applyFont="1" applyBorder="1" applyAlignment="1">
      <alignment horizontal="left" vertical="center"/>
    </xf>
    <xf numFmtId="0" fontId="21" fillId="0" borderId="2" xfId="0" applyFont="1" applyBorder="1" applyAlignment="1">
      <alignment vertical="center"/>
    </xf>
    <xf numFmtId="166" fontId="14" fillId="0" borderId="2" xfId="3" applyNumberFormat="1" applyFont="1" applyFill="1" applyBorder="1" applyAlignment="1">
      <alignment horizontal="center" vertical="center"/>
    </xf>
    <xf numFmtId="0" fontId="14" fillId="0" borderId="2" xfId="0" applyFont="1" applyBorder="1" applyAlignment="1">
      <alignment horizontal="center" vertical="center"/>
    </xf>
    <xf numFmtId="164" fontId="14" fillId="0" borderId="2" xfId="0" applyNumberFormat="1" applyFont="1" applyBorder="1" applyAlignment="1">
      <alignment horizontal="center" vertical="center"/>
    </xf>
    <xf numFmtId="2" fontId="12" fillId="0" borderId="0" xfId="0" applyNumberFormat="1" applyFont="1" applyAlignment="1">
      <alignment horizontal="center" vertical="center"/>
    </xf>
    <xf numFmtId="164" fontId="12" fillId="0" borderId="0" xfId="0" applyNumberFormat="1" applyFont="1" applyAlignment="1">
      <alignment horizontal="center" vertical="center"/>
    </xf>
    <xf numFmtId="44" fontId="12" fillId="0" borderId="0" xfId="3" applyFont="1" applyFill="1" applyBorder="1" applyAlignment="1">
      <alignment horizontal="center" vertical="center"/>
    </xf>
    <xf numFmtId="9" fontId="12" fillId="0" borderId="0" xfId="4" applyFont="1" applyFill="1" applyBorder="1" applyAlignment="1">
      <alignment horizontal="center" vertical="center"/>
    </xf>
    <xf numFmtId="164" fontId="14" fillId="0" borderId="0" xfId="0" applyNumberFormat="1" applyFont="1" applyAlignment="1">
      <alignment horizontal="center" vertical="center"/>
    </xf>
    <xf numFmtId="0" fontId="12" fillId="0" borderId="0" xfId="0" applyFont="1" applyAlignment="1">
      <alignment horizontal="center" vertical="center"/>
    </xf>
    <xf numFmtId="0" fontId="24" fillId="0" borderId="0" xfId="0" applyFont="1" applyAlignment="1">
      <alignment vertical="center"/>
    </xf>
    <xf numFmtId="0" fontId="25" fillId="0" borderId="9" xfId="0" applyFont="1" applyBorder="1" applyAlignment="1">
      <alignment vertical="center"/>
    </xf>
    <xf numFmtId="0" fontId="24" fillId="0" borderId="9" xfId="0" applyFont="1" applyBorder="1" applyAlignment="1">
      <alignment vertical="center"/>
    </xf>
    <xf numFmtId="165" fontId="25" fillId="0" borderId="2" xfId="4" applyNumberFormat="1" applyFont="1" applyBorder="1" applyAlignment="1">
      <alignment horizontal="center" vertical="center"/>
    </xf>
    <xf numFmtId="0" fontId="21" fillId="0" borderId="9" xfId="0" applyFont="1" applyBorder="1" applyAlignment="1">
      <alignment vertical="center"/>
    </xf>
    <xf numFmtId="165" fontId="12" fillId="0" borderId="2" xfId="4" applyNumberFormat="1" applyFont="1" applyBorder="1" applyAlignment="1">
      <alignment horizontal="center" vertical="center"/>
    </xf>
    <xf numFmtId="0" fontId="16" fillId="0" borderId="0" xfId="0" applyFont="1" applyAlignment="1">
      <alignment horizontal="left" vertical="center"/>
    </xf>
    <xf numFmtId="9" fontId="12" fillId="0" borderId="0" xfId="4" applyFont="1" applyBorder="1" applyAlignment="1">
      <alignment horizontal="center" vertical="center"/>
    </xf>
    <xf numFmtId="165" fontId="12" fillId="0" borderId="0" xfId="4" applyNumberFormat="1" applyFont="1" applyBorder="1" applyAlignment="1">
      <alignment horizontal="center" vertical="center"/>
    </xf>
    <xf numFmtId="165" fontId="25" fillId="0" borderId="10" xfId="4" applyNumberFormat="1" applyFont="1" applyBorder="1" applyAlignment="1">
      <alignment horizontal="center" vertical="center"/>
    </xf>
    <xf numFmtId="165" fontId="12" fillId="0" borderId="10" xfId="4" applyNumberFormat="1" applyFont="1" applyBorder="1" applyAlignment="1">
      <alignment horizontal="center" vertical="center"/>
    </xf>
    <xf numFmtId="0" fontId="16" fillId="0" borderId="9"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9" fontId="12" fillId="0" borderId="0" xfId="4" applyFont="1" applyFill="1" applyAlignment="1">
      <alignment horizontal="left" vertical="center"/>
    </xf>
    <xf numFmtId="1" fontId="20" fillId="0" borderId="0" xfId="3" applyNumberFormat="1" applyFont="1" applyFill="1" applyAlignment="1">
      <alignment horizontal="right" vertical="center"/>
    </xf>
    <xf numFmtId="1" fontId="12" fillId="0" borderId="0" xfId="0" applyNumberFormat="1" applyFont="1" applyAlignment="1">
      <alignment vertical="center"/>
    </xf>
    <xf numFmtId="44" fontId="12" fillId="0" borderId="0" xfId="0" applyNumberFormat="1" applyFont="1" applyAlignment="1">
      <alignment vertical="center"/>
    </xf>
    <xf numFmtId="0" fontId="14" fillId="0" borderId="0" xfId="0" applyFont="1" applyAlignment="1">
      <alignment vertical="center"/>
    </xf>
    <xf numFmtId="44" fontId="14" fillId="0" borderId="0" xfId="3" applyFont="1" applyAlignment="1">
      <alignment vertical="center"/>
    </xf>
    <xf numFmtId="0" fontId="14" fillId="0" borderId="0" xfId="0" applyFont="1" applyAlignment="1">
      <alignment horizontal="left" vertical="center"/>
    </xf>
    <xf numFmtId="0" fontId="14" fillId="0" borderId="0" xfId="0" applyFont="1" applyAlignment="1">
      <alignment horizontal="center" vertical="center"/>
    </xf>
    <xf numFmtId="44" fontId="14" fillId="0" borderId="0" xfId="0" applyNumberFormat="1" applyFont="1" applyAlignment="1">
      <alignment vertical="center"/>
    </xf>
    <xf numFmtId="165" fontId="12" fillId="0" borderId="0" xfId="4" applyNumberFormat="1" applyFont="1" applyAlignment="1">
      <alignment horizontal="center" vertical="center"/>
    </xf>
    <xf numFmtId="165" fontId="21" fillId="0" borderId="2" xfId="0" applyNumberFormat="1" applyFont="1" applyBorder="1" applyAlignment="1">
      <alignment horizontal="center" vertical="center"/>
    </xf>
    <xf numFmtId="165" fontId="21" fillId="0" borderId="0" xfId="0" applyNumberFormat="1" applyFont="1" applyAlignment="1">
      <alignment vertical="center"/>
    </xf>
    <xf numFmtId="165" fontId="12" fillId="0" borderId="2" xfId="0" applyNumberFormat="1" applyFont="1" applyBorder="1" applyAlignment="1">
      <alignment horizontal="center" vertical="center"/>
    </xf>
    <xf numFmtId="165" fontId="21" fillId="0" borderId="0" xfId="0" applyNumberFormat="1" applyFont="1" applyAlignment="1">
      <alignment horizontal="center" vertical="center"/>
    </xf>
    <xf numFmtId="165" fontId="21" fillId="0" borderId="2" xfId="0" applyNumberFormat="1" applyFont="1" applyBorder="1" applyAlignment="1">
      <alignment horizontal="left" vertical="center"/>
    </xf>
    <xf numFmtId="165" fontId="12" fillId="0" borderId="2" xfId="4" applyNumberFormat="1" applyFont="1" applyFill="1" applyBorder="1" applyAlignment="1">
      <alignment horizontal="center" vertical="center"/>
    </xf>
    <xf numFmtId="165" fontId="12" fillId="2" borderId="0" xfId="4" applyNumberFormat="1" applyFont="1" applyFill="1" applyBorder="1" applyAlignment="1">
      <alignment horizontal="left" vertical="center"/>
    </xf>
    <xf numFmtId="0" fontId="12" fillId="2" borderId="9"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21" fillId="0" borderId="9" xfId="0" applyFont="1" applyBorder="1" applyAlignment="1">
      <alignment horizontal="center" vertical="center"/>
    </xf>
    <xf numFmtId="0" fontId="21" fillId="0" borderId="4" xfId="0" applyFont="1" applyBorder="1" applyAlignment="1">
      <alignment horizontal="center" vertical="center"/>
    </xf>
    <xf numFmtId="0" fontId="21" fillId="0" borderId="3"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44" fontId="21" fillId="0" borderId="0" xfId="3" applyFont="1" applyFill="1" applyBorder="1" applyAlignment="1">
      <alignment horizontal="center" vertical="center" wrapText="1"/>
    </xf>
    <xf numFmtId="1" fontId="12" fillId="0" borderId="0" xfId="0" applyNumberFormat="1" applyFont="1" applyAlignment="1">
      <alignment horizontal="center" vertical="center"/>
    </xf>
    <xf numFmtId="166" fontId="12" fillId="0" borderId="0" xfId="3" applyNumberFormat="1" applyFont="1" applyFill="1" applyBorder="1" applyAlignment="1">
      <alignment horizontal="center" vertical="center"/>
    </xf>
    <xf numFmtId="0" fontId="14" fillId="0" borderId="0" xfId="1" applyFont="1" applyBorder="1" applyAlignment="1">
      <alignment horizontal="left" vertical="center" wrapText="1"/>
    </xf>
    <xf numFmtId="0" fontId="14" fillId="0" borderId="0" xfId="1" applyFont="1" applyBorder="1" applyAlignment="1">
      <alignment horizontal="left" vertical="center"/>
    </xf>
    <xf numFmtId="44" fontId="20" fillId="0" borderId="0" xfId="3" applyFont="1" applyFill="1" applyBorder="1" applyAlignment="1">
      <alignment horizontal="center" vertical="center"/>
    </xf>
    <xf numFmtId="166" fontId="12" fillId="0" borderId="2" xfId="0" applyNumberFormat="1" applyFont="1" applyBorder="1" applyAlignment="1">
      <alignment horizontal="center" vertical="center"/>
    </xf>
    <xf numFmtId="166" fontId="12" fillId="0" borderId="0" xfId="0" applyNumberFormat="1" applyFont="1" applyAlignment="1">
      <alignment horizontal="center" vertical="center"/>
    </xf>
    <xf numFmtId="166" fontId="21" fillId="0" borderId="7" xfId="0" applyNumberFormat="1" applyFont="1" applyBorder="1" applyAlignment="1">
      <alignment horizontal="center" vertical="center"/>
    </xf>
    <xf numFmtId="166" fontId="21" fillId="0" borderId="0" xfId="3" applyNumberFormat="1" applyFont="1" applyBorder="1" applyAlignment="1">
      <alignment horizontal="center" vertical="center"/>
    </xf>
    <xf numFmtId="166" fontId="21" fillId="0" borderId="0" xfId="3" applyNumberFormat="1" applyFont="1" applyFill="1" applyBorder="1" applyAlignment="1">
      <alignment horizontal="center" vertical="center"/>
    </xf>
    <xf numFmtId="0" fontId="12" fillId="0" borderId="0" xfId="0" applyFont="1" applyAlignment="1">
      <alignment vertical="center" wrapText="1"/>
    </xf>
    <xf numFmtId="166" fontId="21" fillId="0" borderId="0" xfId="0" applyNumberFormat="1" applyFont="1" applyAlignment="1">
      <alignment horizontal="center" vertical="center"/>
    </xf>
    <xf numFmtId="0" fontId="12" fillId="0" borderId="0" xfId="0" applyFont="1" applyAlignment="1">
      <alignment horizontal="left" vertical="center" wrapText="1"/>
    </xf>
    <xf numFmtId="0" fontId="21" fillId="3" borderId="3" xfId="0" applyFont="1" applyFill="1" applyBorder="1" applyAlignment="1">
      <alignment horizontal="center" vertical="center" wrapText="1"/>
    </xf>
    <xf numFmtId="1" fontId="21" fillId="0" borderId="5" xfId="0" applyNumberFormat="1" applyFont="1" applyBorder="1" applyAlignment="1">
      <alignment horizontal="center" vertical="center"/>
    </xf>
    <xf numFmtId="166" fontId="14" fillId="0" borderId="0" xfId="3" applyNumberFormat="1" applyFont="1" applyFill="1" applyBorder="1" applyAlignment="1">
      <alignment horizontal="center" vertical="center"/>
    </xf>
    <xf numFmtId="1" fontId="21" fillId="0" borderId="0" xfId="0" applyNumberFormat="1" applyFont="1" applyAlignment="1">
      <alignment horizontal="center" vertical="center"/>
    </xf>
    <xf numFmtId="0" fontId="11" fillId="0" borderId="0" xfId="1" applyFont="1" applyBorder="1" applyAlignment="1">
      <alignment vertical="center"/>
    </xf>
    <xf numFmtId="166" fontId="11" fillId="0" borderId="0" xfId="3" applyNumberFormat="1" applyFont="1" applyFill="1" applyBorder="1" applyAlignment="1">
      <alignment horizontal="center" vertical="center"/>
    </xf>
    <xf numFmtId="166" fontId="12" fillId="0" borderId="0" xfId="0" applyNumberFormat="1" applyFont="1" applyAlignment="1">
      <alignment vertical="center"/>
    </xf>
    <xf numFmtId="0" fontId="12" fillId="0" borderId="2" xfId="0" applyFont="1" applyBorder="1" applyAlignment="1">
      <alignment vertical="center"/>
    </xf>
    <xf numFmtId="1" fontId="12" fillId="0" borderId="2" xfId="0" applyNumberFormat="1" applyFont="1" applyBorder="1" applyAlignment="1">
      <alignment horizontal="center" vertical="center"/>
    </xf>
    <xf numFmtId="0" fontId="21" fillId="0" borderId="2" xfId="0" applyFont="1" applyBorder="1" applyAlignment="1">
      <alignment horizontal="center" vertical="center"/>
    </xf>
    <xf numFmtId="167" fontId="21" fillId="0" borderId="2" xfId="3" applyNumberFormat="1" applyFont="1" applyFill="1" applyBorder="1" applyAlignment="1">
      <alignment horizontal="center" vertical="center"/>
    </xf>
    <xf numFmtId="164" fontId="21" fillId="0" borderId="2" xfId="0" applyNumberFormat="1" applyFont="1" applyBorder="1" applyAlignment="1">
      <alignment horizontal="center" vertical="center"/>
    </xf>
    <xf numFmtId="166" fontId="11" fillId="0" borderId="2" xfId="3" applyNumberFormat="1" applyFont="1" applyFill="1" applyBorder="1" applyAlignment="1">
      <alignment horizontal="center" vertical="center"/>
    </xf>
    <xf numFmtId="9" fontId="21" fillId="0" borderId="2" xfId="0" applyNumberFormat="1" applyFont="1" applyBorder="1" applyAlignment="1">
      <alignment horizontal="center" vertical="center"/>
    </xf>
    <xf numFmtId="166" fontId="14" fillId="0" borderId="2" xfId="3" applyNumberFormat="1" applyFont="1" applyBorder="1" applyAlignment="1">
      <alignment horizontal="center" vertical="center"/>
    </xf>
    <xf numFmtId="166" fontId="11" fillId="0" borderId="2" xfId="2" applyNumberFormat="1" applyFont="1" applyBorder="1" applyAlignment="1">
      <alignment horizontal="center" vertical="center"/>
    </xf>
    <xf numFmtId="0" fontId="19" fillId="0" borderId="2" xfId="0" applyFont="1" applyBorder="1" applyAlignment="1">
      <alignment horizontal="left" vertical="center"/>
    </xf>
    <xf numFmtId="0" fontId="12" fillId="0" borderId="2" xfId="0" applyFont="1" applyBorder="1" applyAlignment="1">
      <alignment horizontal="left" vertical="center" wrapText="1"/>
    </xf>
    <xf numFmtId="164" fontId="12" fillId="0" borderId="0" xfId="0" applyNumberFormat="1" applyFont="1" applyAlignment="1">
      <alignment vertical="center"/>
    </xf>
    <xf numFmtId="0" fontId="11" fillId="0" borderId="0" xfId="0" applyFont="1" applyAlignment="1">
      <alignment horizontal="center" vertical="center"/>
    </xf>
    <xf numFmtId="0" fontId="11" fillId="0" borderId="6" xfId="1" applyFont="1" applyBorder="1" applyAlignment="1">
      <alignment vertical="center"/>
    </xf>
    <xf numFmtId="0" fontId="21" fillId="0" borderId="6" xfId="0" applyFont="1" applyBorder="1" applyAlignment="1">
      <alignment horizontal="center" vertical="center"/>
    </xf>
    <xf numFmtId="0" fontId="12" fillId="0" borderId="6" xfId="0" applyFont="1" applyBorder="1" applyAlignment="1">
      <alignment vertical="center"/>
    </xf>
    <xf numFmtId="0" fontId="12" fillId="0" borderId="3" xfId="0" applyFont="1" applyBorder="1" applyAlignment="1">
      <alignment vertical="center"/>
    </xf>
    <xf numFmtId="166" fontId="12" fillId="0" borderId="0" xfId="0" applyNumberFormat="1" applyFont="1" applyAlignment="1">
      <alignment horizontal="left" vertical="center"/>
    </xf>
    <xf numFmtId="0" fontId="11" fillId="0" borderId="2" xfId="0" applyFont="1" applyBorder="1" applyAlignment="1">
      <alignment horizontal="center" vertical="center"/>
    </xf>
    <xf numFmtId="167" fontId="11" fillId="0" borderId="2" xfId="3" applyNumberFormat="1" applyFont="1" applyFill="1" applyBorder="1" applyAlignment="1">
      <alignment horizontal="center" vertical="center"/>
    </xf>
    <xf numFmtId="1" fontId="21" fillId="0" borderId="2" xfId="0" applyNumberFormat="1" applyFont="1" applyBorder="1" applyAlignment="1">
      <alignment horizontal="center" vertical="center"/>
    </xf>
    <xf numFmtId="0" fontId="25" fillId="0" borderId="0" xfId="0" applyFont="1"/>
    <xf numFmtId="164" fontId="11" fillId="0" borderId="2" xfId="0" applyNumberFormat="1" applyFont="1" applyBorder="1" applyAlignment="1">
      <alignment horizontal="center" vertical="center"/>
    </xf>
    <xf numFmtId="0" fontId="11" fillId="0" borderId="0" xfId="1" applyFont="1" applyBorder="1" applyAlignment="1">
      <alignment horizontal="center" vertical="center"/>
    </xf>
    <xf numFmtId="166" fontId="13" fillId="0" borderId="2" xfId="0" applyNumberFormat="1" applyFont="1" applyBorder="1" applyAlignment="1">
      <alignment horizontal="center" vertical="center"/>
    </xf>
    <xf numFmtId="0" fontId="17" fillId="0" borderId="0" xfId="0" applyFont="1" applyAlignment="1">
      <alignment horizontal="left" vertical="center" wrapText="1"/>
    </xf>
    <xf numFmtId="0" fontId="11" fillId="0" borderId="2" xfId="0" applyFont="1" applyBorder="1" applyAlignment="1">
      <alignment horizontal="center" vertical="center" wrapText="1"/>
    </xf>
    <xf numFmtId="0" fontId="27" fillId="0" borderId="0" xfId="0" applyFont="1" applyAlignment="1">
      <alignment vertical="center"/>
    </xf>
    <xf numFmtId="44" fontId="23" fillId="0" borderId="2" xfId="3" applyFont="1" applyBorder="1" applyAlignment="1">
      <alignment vertical="center"/>
    </xf>
    <xf numFmtId="0" fontId="26" fillId="0" borderId="6" xfId="0" applyFont="1" applyBorder="1" applyAlignment="1">
      <alignment vertical="center"/>
    </xf>
    <xf numFmtId="0" fontId="21" fillId="0" borderId="6" xfId="0" applyFont="1" applyBorder="1" applyAlignment="1">
      <alignment vertical="center"/>
    </xf>
    <xf numFmtId="0" fontId="26" fillId="0" borderId="0" xfId="0" applyFont="1" applyAlignment="1">
      <alignment vertical="center"/>
    </xf>
    <xf numFmtId="0" fontId="26" fillId="0" borderId="6" xfId="0" applyFont="1" applyBorder="1" applyAlignment="1">
      <alignment horizontal="left" vertical="center" wrapText="1"/>
    </xf>
    <xf numFmtId="1" fontId="11" fillId="0" borderId="2" xfId="3" applyNumberFormat="1" applyFont="1" applyFill="1" applyBorder="1" applyAlignment="1">
      <alignment horizontal="center" vertical="center"/>
    </xf>
    <xf numFmtId="167" fontId="11" fillId="0" borderId="2" xfId="0" applyNumberFormat="1" applyFont="1" applyBorder="1" applyAlignment="1">
      <alignment horizontal="center" vertical="center"/>
    </xf>
    <xf numFmtId="166" fontId="11" fillId="0" borderId="2" xfId="0" applyNumberFormat="1" applyFont="1" applyBorder="1" applyAlignment="1">
      <alignment horizontal="center" vertical="center"/>
    </xf>
    <xf numFmtId="167" fontId="26" fillId="0" borderId="4" xfId="0" applyNumberFormat="1" applyFont="1" applyBorder="1" applyAlignment="1">
      <alignment horizontal="center" vertical="center"/>
    </xf>
    <xf numFmtId="167" fontId="26" fillId="0" borderId="2" xfId="0" applyNumberFormat="1" applyFont="1" applyBorder="1" applyAlignment="1">
      <alignment horizontal="center" vertical="center"/>
    </xf>
    <xf numFmtId="167" fontId="28" fillId="6" borderId="2" xfId="0" applyNumberFormat="1" applyFont="1" applyFill="1" applyBorder="1" applyAlignment="1">
      <alignment horizontal="center" vertical="center"/>
    </xf>
    <xf numFmtId="165" fontId="11" fillId="0" borderId="2" xfId="4" applyNumberFormat="1" applyFont="1" applyFill="1" applyBorder="1" applyAlignment="1">
      <alignment horizontal="center" vertical="center"/>
    </xf>
    <xf numFmtId="9" fontId="11" fillId="0" borderId="2" xfId="0" applyNumberFormat="1" applyFont="1" applyBorder="1" applyAlignment="1">
      <alignment horizontal="center" vertical="center"/>
    </xf>
    <xf numFmtId="9" fontId="11" fillId="0" borderId="2" xfId="4" applyFont="1" applyFill="1" applyBorder="1" applyAlignment="1">
      <alignment horizontal="center" vertical="center"/>
    </xf>
    <xf numFmtId="167" fontId="21" fillId="0" borderId="2" xfId="0" applyNumberFormat="1" applyFont="1" applyBorder="1" applyAlignment="1">
      <alignment horizontal="center" vertical="center"/>
    </xf>
    <xf numFmtId="166" fontId="21" fillId="0" borderId="2" xfId="3" applyNumberFormat="1" applyFont="1" applyFill="1" applyBorder="1" applyAlignment="1">
      <alignment horizontal="center" vertical="center"/>
    </xf>
    <xf numFmtId="166" fontId="21" fillId="0" borderId="2" xfId="3" applyNumberFormat="1" applyFont="1" applyBorder="1" applyAlignment="1">
      <alignment horizontal="center" vertical="center"/>
    </xf>
    <xf numFmtId="0" fontId="16" fillId="0" borderId="0" xfId="0" applyFont="1" applyAlignment="1">
      <alignment horizontal="center" vertical="center"/>
    </xf>
    <xf numFmtId="166" fontId="16" fillId="0" borderId="0" xfId="0" applyNumberFormat="1" applyFont="1" applyAlignment="1">
      <alignment horizontal="left" vertical="center"/>
    </xf>
    <xf numFmtId="166" fontId="16" fillId="0" borderId="0" xfId="0" applyNumberFormat="1" applyFont="1" applyAlignment="1">
      <alignment vertical="center"/>
    </xf>
    <xf numFmtId="167" fontId="13" fillId="0" borderId="2" xfId="3" applyNumberFormat="1" applyFont="1" applyBorder="1" applyAlignment="1">
      <alignment horizontal="center" vertical="center"/>
    </xf>
    <xf numFmtId="0" fontId="12" fillId="0" borderId="9" xfId="0" applyFont="1" applyBorder="1" applyAlignment="1">
      <alignment vertical="center"/>
    </xf>
    <xf numFmtId="166" fontId="21" fillId="0" borderId="2" xfId="0" applyNumberFormat="1" applyFont="1" applyBorder="1" applyAlignment="1">
      <alignment horizontal="center" vertical="center"/>
    </xf>
    <xf numFmtId="167" fontId="11" fillId="0" borderId="2" xfId="3" applyNumberFormat="1" applyFont="1" applyBorder="1" applyAlignment="1">
      <alignment horizontal="center" vertical="center"/>
    </xf>
    <xf numFmtId="44" fontId="11" fillId="0" borderId="2" xfId="3" applyFont="1" applyFill="1" applyBorder="1" applyAlignment="1">
      <alignment horizontal="center" vertical="center"/>
    </xf>
    <xf numFmtId="44" fontId="21" fillId="0" borderId="2" xfId="3" applyFont="1" applyFill="1" applyBorder="1" applyAlignment="1">
      <alignment horizontal="center" vertical="center"/>
    </xf>
    <xf numFmtId="167" fontId="16" fillId="0" borderId="0" xfId="0" applyNumberFormat="1" applyFont="1" applyAlignment="1">
      <alignment vertical="center"/>
    </xf>
    <xf numFmtId="167" fontId="26" fillId="0" borderId="2" xfId="3" applyNumberFormat="1" applyFont="1" applyFill="1" applyBorder="1" applyAlignment="1">
      <alignment horizontal="center" vertical="center"/>
    </xf>
    <xf numFmtId="0" fontId="21" fillId="0" borderId="2" xfId="0" applyFont="1" applyBorder="1" applyAlignment="1">
      <alignment horizontal="center" vertical="center" wrapText="1"/>
    </xf>
    <xf numFmtId="0" fontId="12" fillId="0" borderId="2" xfId="0" applyFont="1" applyBorder="1" applyAlignment="1">
      <alignment horizontal="center" vertical="center"/>
    </xf>
    <xf numFmtId="0" fontId="21" fillId="0" borderId="8" xfId="0" applyFont="1" applyBorder="1" applyAlignment="1">
      <alignment horizontal="center" vertical="center"/>
    </xf>
    <xf numFmtId="0" fontId="12" fillId="0" borderId="0" xfId="0" applyFont="1" applyAlignment="1">
      <alignment horizontal="left" vertical="center"/>
    </xf>
    <xf numFmtId="0" fontId="12" fillId="0" borderId="2" xfId="0" applyFont="1" applyBorder="1" applyAlignment="1">
      <alignment horizontal="left" vertical="center"/>
    </xf>
    <xf numFmtId="0" fontId="16" fillId="0" borderId="2" xfId="0" applyFont="1" applyBorder="1" applyAlignment="1">
      <alignment horizontal="center" vertical="center"/>
    </xf>
    <xf numFmtId="0" fontId="24" fillId="0" borderId="10" xfId="0" applyFont="1" applyBorder="1" applyAlignment="1">
      <alignment horizontal="center" vertical="center"/>
    </xf>
    <xf numFmtId="0" fontId="24" fillId="0" borderId="2" xfId="0" applyFont="1" applyBorder="1" applyAlignment="1">
      <alignment horizontal="center" vertical="center"/>
    </xf>
    <xf numFmtId="0" fontId="21" fillId="0" borderId="2" xfId="0" applyFont="1" applyBorder="1" applyAlignment="1">
      <alignment horizontal="left" vertical="center"/>
    </xf>
    <xf numFmtId="0" fontId="21" fillId="0" borderId="2" xfId="0" applyFont="1" applyBorder="1" applyAlignment="1">
      <alignment horizontal="left" vertical="center" wrapText="1"/>
    </xf>
    <xf numFmtId="166" fontId="30" fillId="0" borderId="2" xfId="3" applyNumberFormat="1" applyFont="1" applyFill="1" applyBorder="1" applyAlignment="1">
      <alignment horizontal="center" vertical="center"/>
    </xf>
    <xf numFmtId="1" fontId="16" fillId="0" borderId="2" xfId="0" applyNumberFormat="1" applyFont="1" applyBorder="1" applyAlignment="1">
      <alignment horizontal="center" vertical="center"/>
    </xf>
    <xf numFmtId="166" fontId="16" fillId="0" borderId="0" xfId="0" applyNumberFormat="1" applyFont="1" applyAlignment="1">
      <alignment horizontal="center" vertical="center"/>
    </xf>
    <xf numFmtId="1" fontId="13" fillId="0" borderId="2" xfId="0" applyNumberFormat="1" applyFont="1" applyBorder="1" applyAlignment="1">
      <alignment horizontal="center" vertical="center"/>
    </xf>
    <xf numFmtId="164" fontId="14" fillId="0" borderId="4" xfId="0" applyNumberFormat="1" applyFont="1" applyBorder="1" applyAlignment="1">
      <alignment horizontal="center" vertical="center"/>
    </xf>
    <xf numFmtId="9" fontId="20" fillId="0" borderId="0" xfId="4" applyFont="1" applyFill="1" applyBorder="1" applyAlignment="1">
      <alignment vertical="center"/>
    </xf>
    <xf numFmtId="44" fontId="12" fillId="0" borderId="0" xfId="3" applyFont="1" applyAlignment="1">
      <alignment vertical="center"/>
    </xf>
    <xf numFmtId="0" fontId="27" fillId="0" borderId="0" xfId="1" applyFont="1" applyFill="1" applyBorder="1" applyAlignment="1">
      <alignment horizontal="center" vertical="center"/>
    </xf>
    <xf numFmtId="0" fontId="17" fillId="0" borderId="0" xfId="0" applyFont="1" applyAlignment="1">
      <alignment vertical="center"/>
    </xf>
    <xf numFmtId="1" fontId="12" fillId="0" borderId="2" xfId="0" applyNumberFormat="1" applyFont="1" applyBorder="1" applyAlignment="1">
      <alignment horizontal="left" vertical="center"/>
    </xf>
    <xf numFmtId="0" fontId="20" fillId="0" borderId="0" xfId="0" applyFont="1" applyAlignment="1">
      <alignment horizontal="center" vertical="center"/>
    </xf>
    <xf numFmtId="0" fontId="20" fillId="0" borderId="2" xfId="0" applyFont="1" applyBorder="1" applyAlignment="1">
      <alignment horizontal="center" vertical="center"/>
    </xf>
    <xf numFmtId="44" fontId="14" fillId="0" borderId="2" xfId="3" applyFont="1" applyBorder="1" applyAlignment="1">
      <alignment horizontal="center" vertical="center"/>
    </xf>
    <xf numFmtId="1" fontId="11" fillId="0" borderId="2" xfId="0" applyNumberFormat="1" applyFont="1" applyBorder="1" applyAlignment="1">
      <alignment horizontal="center" vertical="center"/>
    </xf>
    <xf numFmtId="0" fontId="14" fillId="0" borderId="2" xfId="3" applyNumberFormat="1" applyFont="1" applyBorder="1" applyAlignment="1">
      <alignment horizontal="center" vertical="center"/>
    </xf>
    <xf numFmtId="166" fontId="12" fillId="0" borderId="0" xfId="3" applyNumberFormat="1" applyFont="1" applyBorder="1" applyAlignment="1">
      <alignment horizontal="center" vertical="center"/>
    </xf>
    <xf numFmtId="167" fontId="12" fillId="0" borderId="0" xfId="0" applyNumberFormat="1" applyFont="1" applyAlignment="1">
      <alignment vertical="center"/>
    </xf>
    <xf numFmtId="164" fontId="11" fillId="0" borderId="2" xfId="3" applyNumberFormat="1" applyFont="1" applyBorder="1" applyAlignment="1">
      <alignment horizontal="center" vertical="center"/>
    </xf>
    <xf numFmtId="1" fontId="11" fillId="0" borderId="2" xfId="3" applyNumberFormat="1" applyFont="1" applyBorder="1" applyAlignment="1">
      <alignment horizontal="center" vertical="center"/>
    </xf>
    <xf numFmtId="166" fontId="14" fillId="0" borderId="2" xfId="0" applyNumberFormat="1" applyFont="1" applyBorder="1" applyAlignment="1">
      <alignment horizontal="center" vertical="center"/>
    </xf>
    <xf numFmtId="166" fontId="20" fillId="0" borderId="0" xfId="3" applyNumberFormat="1" applyFont="1" applyFill="1" applyBorder="1" applyAlignment="1">
      <alignment horizontal="center" vertical="center"/>
    </xf>
    <xf numFmtId="166" fontId="11" fillId="0" borderId="2" xfId="3" applyNumberFormat="1" applyFont="1" applyBorder="1" applyAlignment="1">
      <alignment horizontal="center" vertical="center"/>
    </xf>
    <xf numFmtId="0" fontId="20" fillId="0" borderId="0" xfId="3" applyNumberFormat="1" applyFont="1" applyBorder="1" applyAlignment="1">
      <alignment horizontal="center" vertical="center"/>
    </xf>
    <xf numFmtId="1" fontId="21" fillId="0" borderId="2" xfId="0" applyNumberFormat="1" applyFont="1" applyBorder="1" applyAlignment="1">
      <alignment horizontal="left" vertical="center"/>
    </xf>
    <xf numFmtId="0" fontId="12" fillId="0" borderId="9" xfId="0" applyFont="1" applyBorder="1" applyAlignment="1">
      <alignment horizontal="left" vertical="center"/>
    </xf>
    <xf numFmtId="0" fontId="12" fillId="0" borderId="4" xfId="0" applyFont="1" applyBorder="1" applyAlignment="1">
      <alignment horizontal="left" vertical="center"/>
    </xf>
    <xf numFmtId="168" fontId="12" fillId="0" borderId="0" xfId="0" applyNumberFormat="1" applyFont="1" applyAlignment="1">
      <alignment vertical="center"/>
    </xf>
    <xf numFmtId="164" fontId="11" fillId="0" borderId="2" xfId="3" applyNumberFormat="1" applyFont="1" applyFill="1" applyBorder="1" applyAlignment="1">
      <alignment horizontal="left" vertical="center"/>
    </xf>
    <xf numFmtId="0" fontId="31" fillId="0" borderId="0" xfId="0" applyFont="1" applyAlignment="1">
      <alignment horizontal="left" vertical="center"/>
    </xf>
    <xf numFmtId="0" fontId="31" fillId="0" borderId="0" xfId="0" applyFont="1" applyAlignment="1">
      <alignment vertical="center"/>
    </xf>
    <xf numFmtId="164" fontId="23" fillId="0" borderId="0" xfId="0" applyNumberFormat="1" applyFont="1" applyAlignment="1">
      <alignment vertical="center"/>
    </xf>
    <xf numFmtId="164" fontId="21" fillId="0" borderId="0" xfId="0" applyNumberFormat="1" applyFont="1" applyAlignment="1">
      <alignment horizontal="center" vertical="center"/>
    </xf>
    <xf numFmtId="164" fontId="11" fillId="0" borderId="0" xfId="0" applyNumberFormat="1" applyFont="1" applyAlignment="1">
      <alignment horizontal="center" vertical="center"/>
    </xf>
    <xf numFmtId="9" fontId="11" fillId="0" borderId="0" xfId="0" applyNumberFormat="1" applyFont="1" applyAlignment="1">
      <alignment horizontal="center" vertical="center"/>
    </xf>
    <xf numFmtId="9" fontId="11" fillId="0" borderId="0" xfId="4" applyFont="1" applyFill="1" applyBorder="1" applyAlignment="1">
      <alignment horizontal="center" vertical="center"/>
    </xf>
    <xf numFmtId="0" fontId="12" fillId="2" borderId="0" xfId="0" applyFont="1" applyFill="1" applyAlignment="1">
      <alignment vertical="center"/>
    </xf>
    <xf numFmtId="0" fontId="21" fillId="0" borderId="9"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164" fontId="21" fillId="0" borderId="2" xfId="0" applyNumberFormat="1" applyFont="1" applyBorder="1" applyAlignment="1">
      <alignment horizontal="left" vertical="center"/>
    </xf>
    <xf numFmtId="1" fontId="21" fillId="0" borderId="2" xfId="5" applyNumberFormat="1" applyFont="1" applyBorder="1" applyAlignment="1">
      <alignment horizontal="left" vertical="center"/>
    </xf>
    <xf numFmtId="0" fontId="16" fillId="0" borderId="2" xfId="0" applyFont="1" applyBorder="1" applyAlignment="1">
      <alignment horizontal="left" vertical="center"/>
    </xf>
    <xf numFmtId="0" fontId="14" fillId="0" borderId="2" xfId="0" applyFont="1" applyBorder="1" applyAlignment="1">
      <alignment horizontal="left" vertical="center"/>
    </xf>
    <xf numFmtId="9" fontId="21" fillId="0" borderId="2" xfId="4" applyFont="1" applyFill="1" applyBorder="1" applyAlignment="1">
      <alignment horizontal="left" vertical="center"/>
    </xf>
    <xf numFmtId="0" fontId="11" fillId="0" borderId="2" xfId="2" applyFont="1" applyFill="1" applyBorder="1" applyAlignment="1">
      <alignment horizontal="center" vertical="center" wrapText="1"/>
    </xf>
    <xf numFmtId="167" fontId="21" fillId="0" borderId="2" xfId="3" applyNumberFormat="1" applyFont="1" applyBorder="1" applyAlignment="1">
      <alignment horizontal="center" vertical="center"/>
    </xf>
    <xf numFmtId="167" fontId="11" fillId="0" borderId="2" xfId="2" applyNumberFormat="1" applyFont="1" applyBorder="1" applyAlignment="1">
      <alignment horizontal="center" vertical="center"/>
    </xf>
    <xf numFmtId="166" fontId="28" fillId="6" borderId="2" xfId="0" applyNumberFormat="1" applyFont="1" applyFill="1" applyBorder="1" applyAlignment="1">
      <alignment horizontal="center" vertical="center"/>
    </xf>
    <xf numFmtId="0" fontId="16" fillId="7" borderId="0" xfId="0" applyFont="1" applyFill="1" applyAlignment="1">
      <alignment vertical="center"/>
    </xf>
    <xf numFmtId="0" fontId="12" fillId="7" borderId="0" xfId="0" applyFont="1" applyFill="1" applyAlignment="1">
      <alignment vertical="center"/>
    </xf>
    <xf numFmtId="0" fontId="12" fillId="7" borderId="0" xfId="0" applyFont="1" applyFill="1" applyAlignment="1">
      <alignment horizontal="center" vertical="center"/>
    </xf>
    <xf numFmtId="166" fontId="12" fillId="7" borderId="0" xfId="0" applyNumberFormat="1" applyFont="1" applyFill="1" applyAlignment="1">
      <alignment horizontal="center" vertical="center"/>
    </xf>
    <xf numFmtId="166" fontId="12" fillId="7" borderId="0" xfId="3" applyNumberFormat="1" applyFont="1" applyFill="1" applyAlignment="1">
      <alignment horizontal="center" vertical="center"/>
    </xf>
    <xf numFmtId="166" fontId="12" fillId="0" borderId="6" xfId="0" applyNumberFormat="1" applyFont="1" applyBorder="1" applyAlignment="1">
      <alignment vertical="center"/>
    </xf>
    <xf numFmtId="167" fontId="21" fillId="7" borderId="2" xfId="3" applyNumberFormat="1" applyFont="1" applyFill="1" applyBorder="1" applyAlignment="1">
      <alignment horizontal="center" vertical="center"/>
    </xf>
    <xf numFmtId="167" fontId="21" fillId="7" borderId="2" xfId="0" applyNumberFormat="1" applyFont="1" applyFill="1" applyBorder="1" applyAlignment="1">
      <alignment horizontal="center" vertical="center"/>
    </xf>
    <xf numFmtId="166" fontId="26" fillId="0" borderId="2" xfId="0" applyNumberFormat="1" applyFont="1" applyBorder="1" applyAlignment="1">
      <alignment horizontal="center" vertical="center"/>
    </xf>
    <xf numFmtId="44" fontId="12" fillId="0" borderId="0" xfId="3" applyFont="1" applyAlignment="1">
      <alignment horizontal="center" vertical="center"/>
    </xf>
    <xf numFmtId="0" fontId="0" fillId="2" borderId="0" xfId="0" applyFill="1" applyAlignment="1">
      <alignment horizontal="center" vertical="center"/>
    </xf>
    <xf numFmtId="164" fontId="0" fillId="2" borderId="0" xfId="0" applyNumberFormat="1" applyFill="1" applyAlignment="1">
      <alignment horizontal="center" vertical="center"/>
    </xf>
    <xf numFmtId="2" fontId="0" fillId="2" borderId="0" xfId="0" applyNumberFormat="1" applyFill="1" applyAlignment="1">
      <alignment horizontal="center" vertical="center"/>
    </xf>
    <xf numFmtId="0" fontId="7" fillId="2" borderId="0" xfId="0" applyFont="1" applyFill="1"/>
    <xf numFmtId="165" fontId="32" fillId="0" borderId="0" xfId="0" applyNumberFormat="1" applyFont="1"/>
    <xf numFmtId="165" fontId="3" fillId="0" borderId="0" xfId="0" applyNumberFormat="1" applyFont="1"/>
    <xf numFmtId="0" fontId="0" fillId="2" borderId="0" xfId="0" applyFill="1" applyAlignment="1">
      <alignment horizontal="center"/>
    </xf>
    <xf numFmtId="0" fontId="11" fillId="2" borderId="0" xfId="0" applyFont="1" applyFill="1" applyAlignment="1">
      <alignment horizontal="center" vertical="center"/>
    </xf>
    <xf numFmtId="164" fontId="11" fillId="0" borderId="2" xfId="0" applyNumberFormat="1" applyFont="1" applyBorder="1" applyAlignment="1">
      <alignment horizontal="left" vertical="center"/>
    </xf>
    <xf numFmtId="164" fontId="14" fillId="0" borderId="2" xfId="0" applyNumberFormat="1" applyFont="1" applyBorder="1" applyAlignment="1">
      <alignment horizontal="left" vertical="center"/>
    </xf>
    <xf numFmtId="165" fontId="11" fillId="0" borderId="2" xfId="4" applyNumberFormat="1" applyFont="1" applyFill="1" applyBorder="1" applyAlignment="1">
      <alignment horizontal="left" vertical="center"/>
    </xf>
    <xf numFmtId="0" fontId="13" fillId="0" borderId="0" xfId="0" applyFont="1" applyAlignment="1">
      <alignment vertical="center"/>
    </xf>
    <xf numFmtId="165" fontId="13" fillId="0" borderId="0" xfId="4" applyNumberFormat="1" applyFont="1" applyAlignment="1">
      <alignment horizontal="left" vertical="center"/>
    </xf>
    <xf numFmtId="0" fontId="17" fillId="0" borderId="2" xfId="0" applyFont="1" applyBorder="1" applyAlignment="1">
      <alignment horizontal="center" vertical="center"/>
    </xf>
    <xf numFmtId="0" fontId="11" fillId="0" borderId="2" xfId="4" applyNumberFormat="1" applyFont="1" applyFill="1" applyBorder="1" applyAlignment="1">
      <alignment horizontal="left" vertical="center"/>
    </xf>
    <xf numFmtId="0" fontId="33" fillId="0" borderId="0" xfId="0" applyFont="1"/>
    <xf numFmtId="17" fontId="0" fillId="0" borderId="0" xfId="0" applyNumberFormat="1"/>
    <xf numFmtId="1" fontId="11" fillId="0" borderId="2" xfId="4" applyNumberFormat="1" applyFont="1" applyFill="1" applyBorder="1" applyAlignment="1">
      <alignment horizontal="left" vertical="center"/>
    </xf>
    <xf numFmtId="0" fontId="12" fillId="0" borderId="0" xfId="0" applyFont="1" applyAlignment="1">
      <alignment horizontal="center"/>
    </xf>
    <xf numFmtId="0" fontId="16" fillId="0" borderId="0" xfId="0" applyFont="1"/>
    <xf numFmtId="0" fontId="12" fillId="8" borderId="0" xfId="0" applyFont="1" applyFill="1"/>
    <xf numFmtId="0" fontId="12" fillId="8" borderId="0" xfId="0" applyFont="1" applyFill="1" applyAlignment="1">
      <alignment horizontal="center"/>
    </xf>
    <xf numFmtId="0" fontId="16" fillId="8" borderId="0" xfId="0" applyFont="1" applyFill="1"/>
    <xf numFmtId="0" fontId="12" fillId="8" borderId="0" xfId="0" applyFont="1" applyFill="1" applyAlignment="1">
      <alignment vertical="center"/>
    </xf>
    <xf numFmtId="0" fontId="12" fillId="2" borderId="0" xfId="0" applyFont="1" applyFill="1"/>
    <xf numFmtId="0" fontId="34" fillId="0" borderId="0" xfId="0" applyFont="1"/>
    <xf numFmtId="0" fontId="34" fillId="0" borderId="0" xfId="0" applyFont="1" applyAlignment="1">
      <alignment horizontal="center"/>
    </xf>
    <xf numFmtId="0" fontId="35" fillId="0" borderId="0" xfId="0" applyFont="1"/>
    <xf numFmtId="1" fontId="0" fillId="0" borderId="0" xfId="0" applyNumberFormat="1"/>
    <xf numFmtId="0" fontId="26" fillId="0" borderId="0" xfId="0" applyFont="1"/>
    <xf numFmtId="0" fontId="36" fillId="0" borderId="0" xfId="0" applyFont="1"/>
    <xf numFmtId="0" fontId="36" fillId="0" borderId="0" xfId="0" applyFont="1" applyAlignment="1">
      <alignment vertical="center"/>
    </xf>
    <xf numFmtId="0" fontId="12" fillId="7" borderId="0" xfId="0" applyFont="1" applyFill="1" applyAlignment="1">
      <alignment horizontal="right" vertical="center"/>
    </xf>
    <xf numFmtId="0" fontId="12" fillId="0" borderId="0" xfId="0" applyFont="1" applyAlignment="1">
      <alignment horizontal="right" vertical="center"/>
    </xf>
    <xf numFmtId="0" fontId="32" fillId="0" borderId="6" xfId="0" applyFont="1" applyBorder="1"/>
    <xf numFmtId="164" fontId="12" fillId="0" borderId="2" xfId="0" applyNumberFormat="1" applyFont="1" applyBorder="1" applyAlignment="1">
      <alignment horizontal="center" vertical="center"/>
    </xf>
    <xf numFmtId="167" fontId="21" fillId="0" borderId="2" xfId="0" applyNumberFormat="1" applyFont="1" applyBorder="1" applyAlignment="1">
      <alignment horizontal="left" vertical="center"/>
    </xf>
    <xf numFmtId="166" fontId="21" fillId="0" borderId="0" xfId="0" applyNumberFormat="1" applyFont="1" applyAlignment="1">
      <alignment horizontal="left" vertical="center"/>
    </xf>
    <xf numFmtId="166" fontId="21" fillId="0" borderId="2" xfId="0" applyNumberFormat="1" applyFont="1" applyBorder="1" applyAlignment="1">
      <alignment horizontal="left" vertical="center"/>
    </xf>
    <xf numFmtId="1" fontId="21" fillId="0" borderId="0" xfId="0" applyNumberFormat="1" applyFont="1" applyAlignment="1">
      <alignment horizontal="left" vertical="center"/>
    </xf>
    <xf numFmtId="0" fontId="37" fillId="0" borderId="2" xfId="0" applyFont="1" applyBorder="1" applyAlignment="1">
      <alignment horizontal="center" vertical="center" wrapText="1"/>
    </xf>
    <xf numFmtId="1" fontId="11" fillId="0" borderId="0" xfId="0" applyNumberFormat="1" applyFont="1" applyAlignment="1">
      <alignment horizontal="left" vertical="center"/>
    </xf>
    <xf numFmtId="164" fontId="14" fillId="0" borderId="0" xfId="0" applyNumberFormat="1" applyFont="1" applyAlignment="1">
      <alignment horizontal="left" vertical="center"/>
    </xf>
    <xf numFmtId="1" fontId="11" fillId="0" borderId="2" xfId="4" applyNumberFormat="1" applyFont="1" applyFill="1" applyBorder="1" applyAlignment="1">
      <alignment horizontal="center" vertical="center"/>
    </xf>
    <xf numFmtId="0" fontId="14" fillId="0" borderId="0" xfId="3" applyNumberFormat="1" applyFont="1" applyFill="1" applyBorder="1" applyAlignment="1">
      <alignment horizontal="center" vertical="center"/>
    </xf>
    <xf numFmtId="0" fontId="11" fillId="0" borderId="0" xfId="3" applyNumberFormat="1" applyFont="1" applyFill="1" applyBorder="1" applyAlignment="1">
      <alignment horizontal="center" vertical="center"/>
    </xf>
    <xf numFmtId="1" fontId="14" fillId="0" borderId="0" xfId="0" applyNumberFormat="1" applyFont="1" applyAlignment="1">
      <alignment horizontal="center" vertical="center"/>
    </xf>
    <xf numFmtId="1" fontId="11" fillId="0" borderId="0" xfId="0" applyNumberFormat="1" applyFont="1" applyAlignment="1">
      <alignment horizontal="center" vertical="center"/>
    </xf>
    <xf numFmtId="0" fontId="11" fillId="0" borderId="0" xfId="3" applyNumberFormat="1" applyFont="1" applyFill="1" applyBorder="1" applyAlignment="1">
      <alignment vertical="center"/>
    </xf>
    <xf numFmtId="0" fontId="13" fillId="0" borderId="2" xfId="0" applyFont="1" applyBorder="1" applyAlignment="1" applyProtection="1">
      <alignment horizontal="left" vertical="center"/>
      <protection locked="0"/>
    </xf>
    <xf numFmtId="164" fontId="13" fillId="0" borderId="2" xfId="0" applyNumberFormat="1" applyFont="1" applyBorder="1" applyAlignment="1" applyProtection="1">
      <alignment horizontal="left" vertical="center"/>
      <protection locked="0"/>
    </xf>
    <xf numFmtId="9" fontId="13" fillId="0" borderId="2" xfId="4" applyFont="1" applyFill="1" applyBorder="1" applyAlignment="1" applyProtection="1">
      <alignment horizontal="left" vertical="center"/>
      <protection locked="0"/>
    </xf>
    <xf numFmtId="9" fontId="13" fillId="0" borderId="2" xfId="4" applyFont="1" applyBorder="1" applyAlignment="1" applyProtection="1">
      <alignment horizontal="center" vertical="center"/>
      <protection locked="0"/>
    </xf>
    <xf numFmtId="166" fontId="13" fillId="0" borderId="2" xfId="3" applyNumberFormat="1" applyFont="1" applyFill="1" applyBorder="1" applyAlignment="1" applyProtection="1">
      <alignment horizontal="center" vertical="center"/>
      <protection locked="0"/>
    </xf>
    <xf numFmtId="166" fontId="13" fillId="0" borderId="2" xfId="0" applyNumberFormat="1" applyFont="1" applyBorder="1" applyAlignment="1" applyProtection="1">
      <alignment horizontal="center" vertical="center"/>
      <protection locked="0"/>
    </xf>
    <xf numFmtId="166" fontId="13" fillId="0" borderId="2" xfId="3" applyNumberFormat="1" applyFont="1" applyFill="1" applyBorder="1" applyAlignment="1" applyProtection="1">
      <alignment horizontal="left" vertical="center"/>
      <protection locked="0"/>
    </xf>
    <xf numFmtId="166" fontId="13" fillId="0" borderId="7" xfId="3" applyNumberFormat="1" applyFont="1" applyFill="1" applyBorder="1" applyAlignment="1" applyProtection="1">
      <alignment horizontal="left" vertical="center"/>
      <protection locked="0"/>
    </xf>
    <xf numFmtId="166" fontId="13" fillId="0" borderId="2" xfId="3" applyNumberFormat="1" applyFont="1" applyBorder="1" applyAlignment="1" applyProtection="1">
      <alignment horizontal="left" vertical="center"/>
      <protection locked="0"/>
    </xf>
    <xf numFmtId="0" fontId="13" fillId="0" borderId="2" xfId="3" applyNumberFormat="1" applyFont="1" applyBorder="1" applyAlignment="1" applyProtection="1">
      <alignment horizontal="left" vertical="center"/>
      <protection locked="0"/>
    </xf>
    <xf numFmtId="167" fontId="13" fillId="0" borderId="2" xfId="0" applyNumberFormat="1" applyFont="1" applyBorder="1" applyAlignment="1" applyProtection="1">
      <alignment horizontal="left" vertical="center"/>
      <protection locked="0"/>
    </xf>
    <xf numFmtId="165" fontId="13" fillId="0" borderId="2" xfId="4" applyNumberFormat="1" applyFont="1" applyFill="1" applyBorder="1" applyAlignment="1" applyProtection="1">
      <alignment horizontal="left" vertical="center"/>
      <protection locked="0"/>
    </xf>
    <xf numFmtId="0" fontId="13" fillId="0" borderId="2" xfId="3" applyNumberFormat="1" applyFont="1" applyFill="1" applyBorder="1" applyAlignment="1" applyProtection="1">
      <alignment horizontal="left" vertical="center"/>
      <protection locked="0"/>
    </xf>
    <xf numFmtId="164" fontId="13" fillId="0" borderId="2" xfId="3" applyNumberFormat="1" applyFont="1" applyFill="1" applyBorder="1" applyAlignment="1" applyProtection="1">
      <alignment horizontal="left" vertical="center"/>
      <protection locked="0"/>
    </xf>
    <xf numFmtId="0" fontId="13" fillId="0" borderId="2" xfId="0" applyFont="1" applyBorder="1" applyAlignment="1" applyProtection="1">
      <alignment horizontal="center" vertical="center"/>
      <protection locked="0"/>
    </xf>
    <xf numFmtId="164" fontId="13" fillId="0" borderId="2" xfId="3" applyNumberFormat="1" applyFont="1" applyFill="1" applyBorder="1" applyAlignment="1" applyProtection="1">
      <alignment horizontal="center" vertical="center"/>
      <protection locked="0"/>
    </xf>
    <xf numFmtId="167" fontId="13" fillId="0" borderId="2" xfId="3" applyNumberFormat="1" applyFont="1" applyBorder="1" applyAlignment="1" applyProtection="1">
      <alignment horizontal="center" vertical="center"/>
      <protection locked="0"/>
    </xf>
    <xf numFmtId="166" fontId="13" fillId="0" borderId="2" xfId="3" applyNumberFormat="1" applyFont="1" applyBorder="1" applyAlignment="1" applyProtection="1">
      <alignment horizontal="center" vertical="center"/>
      <protection locked="0"/>
    </xf>
    <xf numFmtId="167" fontId="13" fillId="0" borderId="2" xfId="0" applyNumberFormat="1" applyFont="1" applyBorder="1" applyAlignment="1" applyProtection="1">
      <alignment horizontal="center" vertical="center"/>
      <protection locked="0"/>
    </xf>
    <xf numFmtId="167" fontId="13" fillId="0" borderId="2" xfId="3" applyNumberFormat="1" applyFont="1" applyFill="1" applyBorder="1" applyAlignment="1" applyProtection="1">
      <alignment horizontal="center" vertical="center"/>
      <protection locked="0"/>
    </xf>
    <xf numFmtId="0" fontId="13" fillId="0" borderId="2" xfId="3" applyNumberFormat="1" applyFont="1" applyBorder="1" applyAlignment="1" applyProtection="1">
      <alignment horizontal="center" vertical="center"/>
      <protection locked="0"/>
    </xf>
    <xf numFmtId="165" fontId="13" fillId="0" borderId="2" xfId="4" applyNumberFormat="1" applyFont="1" applyFill="1" applyBorder="1" applyAlignment="1" applyProtection="1">
      <alignment horizontal="center" vertical="center"/>
      <protection locked="0"/>
    </xf>
    <xf numFmtId="164" fontId="13" fillId="0" borderId="2" xfId="0" applyNumberFormat="1" applyFont="1" applyBorder="1" applyAlignment="1" applyProtection="1">
      <alignment horizontal="center" vertical="center"/>
      <protection locked="0"/>
    </xf>
    <xf numFmtId="0" fontId="13" fillId="0" borderId="2" xfId="5" applyNumberFormat="1" applyFont="1" applyBorder="1" applyAlignment="1" applyProtection="1">
      <alignment horizontal="center" vertical="center"/>
      <protection locked="0"/>
    </xf>
    <xf numFmtId="9" fontId="13" fillId="0" borderId="0" xfId="4" applyFont="1" applyFill="1" applyAlignment="1" applyProtection="1">
      <alignment vertical="center"/>
      <protection locked="0"/>
    </xf>
    <xf numFmtId="9" fontId="13" fillId="0" borderId="2" xfId="4" applyFont="1" applyFill="1" applyBorder="1" applyAlignment="1" applyProtection="1">
      <alignment horizontal="center" vertical="center"/>
      <protection locked="0"/>
    </xf>
    <xf numFmtId="1" fontId="13" fillId="0" borderId="2" xfId="3" applyNumberFormat="1" applyFont="1" applyFill="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2" fillId="0" borderId="0" xfId="0" applyFont="1" applyAlignment="1">
      <alignment vertical="center" wrapText="1"/>
    </xf>
    <xf numFmtId="0" fontId="21" fillId="0" borderId="0" xfId="0" applyFont="1" applyAlignment="1">
      <alignment horizontal="left" vertical="center"/>
    </xf>
    <xf numFmtId="0" fontId="21" fillId="0" borderId="0" xfId="0" applyFont="1" applyAlignment="1">
      <alignment horizontal="center"/>
    </xf>
    <xf numFmtId="0" fontId="29" fillId="5" borderId="0" xfId="0" applyFont="1" applyFill="1" applyAlignment="1">
      <alignment horizontal="center"/>
    </xf>
    <xf numFmtId="14" fontId="21" fillId="0" borderId="0" xfId="0" applyNumberFormat="1" applyFont="1" applyAlignment="1">
      <alignment horizontal="center"/>
    </xf>
    <xf numFmtId="0" fontId="26" fillId="0" borderId="0" xfId="0" applyFont="1" applyAlignment="1">
      <alignment horizontal="center"/>
    </xf>
    <xf numFmtId="0" fontId="13" fillId="0" borderId="2" xfId="0" applyFont="1" applyBorder="1" applyAlignment="1" applyProtection="1">
      <alignment horizontal="left" vertical="center"/>
      <protection locked="0"/>
    </xf>
    <xf numFmtId="0" fontId="12" fillId="0" borderId="2" xfId="0" applyFont="1" applyBorder="1" applyAlignment="1">
      <alignment horizontal="center" vertical="center"/>
    </xf>
    <xf numFmtId="0" fontId="27" fillId="4" borderId="2" xfId="0" applyFont="1" applyFill="1" applyBorder="1" applyAlignment="1">
      <alignment horizontal="center" vertical="center"/>
    </xf>
    <xf numFmtId="0" fontId="11" fillId="0" borderId="2" xfId="1" applyFont="1" applyBorder="1" applyAlignment="1">
      <alignment horizontal="center" vertical="center"/>
    </xf>
    <xf numFmtId="0" fontId="12" fillId="0" borderId="2" xfId="0" applyFont="1" applyBorder="1" applyAlignment="1">
      <alignment horizontal="left" vertical="center"/>
    </xf>
    <xf numFmtId="0" fontId="12" fillId="0" borderId="9"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9"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13" fillId="0" borderId="6" xfId="0" applyFont="1" applyBorder="1" applyAlignment="1">
      <alignment horizontal="left" vertical="center"/>
    </xf>
    <xf numFmtId="0" fontId="12" fillId="0" borderId="0" xfId="0" applyFont="1" applyAlignment="1">
      <alignment horizontal="left" vertical="center"/>
    </xf>
    <xf numFmtId="0" fontId="21" fillId="5" borderId="2" xfId="0" applyFont="1" applyFill="1" applyBorder="1" applyAlignment="1">
      <alignment horizontal="center" vertical="center"/>
    </xf>
    <xf numFmtId="0" fontId="13" fillId="0" borderId="2" xfId="3" applyNumberFormat="1" applyFont="1" applyBorder="1" applyAlignment="1" applyProtection="1">
      <alignment horizontal="left" vertical="center"/>
      <protection locked="0"/>
    </xf>
    <xf numFmtId="0" fontId="13" fillId="0" borderId="9"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9" fontId="14" fillId="0" borderId="2" xfId="4" applyFont="1" applyFill="1" applyBorder="1" applyAlignment="1">
      <alignment horizontal="center" vertical="center"/>
    </xf>
    <xf numFmtId="0" fontId="21" fillId="0" borderId="2" xfId="0" applyFont="1" applyBorder="1" applyAlignment="1">
      <alignment horizontal="center" vertical="center" wrapText="1"/>
    </xf>
    <xf numFmtId="0" fontId="12" fillId="0" borderId="7" xfId="0" applyFont="1" applyBorder="1" applyAlignment="1">
      <alignment horizontal="left" vertical="center"/>
    </xf>
    <xf numFmtId="0" fontId="24" fillId="5" borderId="9"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16" fillId="0" borderId="2" xfId="0" applyFont="1" applyBorder="1" applyAlignment="1">
      <alignment horizontal="center" vertical="center"/>
    </xf>
    <xf numFmtId="0" fontId="24" fillId="5" borderId="2" xfId="0" applyFont="1" applyFill="1" applyBorder="1" applyAlignment="1">
      <alignment horizontal="center" vertical="center"/>
    </xf>
    <xf numFmtId="9" fontId="12" fillId="0" borderId="2" xfId="4" applyFont="1" applyFill="1" applyBorder="1" applyAlignment="1">
      <alignment horizontal="center" vertical="center"/>
    </xf>
    <xf numFmtId="9" fontId="14" fillId="0" borderId="2" xfId="0" applyNumberFormat="1" applyFont="1" applyBorder="1" applyAlignment="1">
      <alignment horizontal="center" vertical="center"/>
    </xf>
    <xf numFmtId="0" fontId="21" fillId="0" borderId="9"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13" fillId="2" borderId="9" xfId="0" applyFont="1" applyFill="1" applyBorder="1" applyAlignment="1">
      <alignment horizontal="left" vertical="center"/>
    </xf>
    <xf numFmtId="0" fontId="13" fillId="2" borderId="4" xfId="0" applyFont="1" applyFill="1" applyBorder="1" applyAlignment="1">
      <alignment horizontal="left" vertical="center"/>
    </xf>
    <xf numFmtId="0" fontId="24" fillId="0" borderId="10" xfId="0" applyFont="1" applyBorder="1" applyAlignment="1">
      <alignment horizontal="center" vertical="center"/>
    </xf>
    <xf numFmtId="0" fontId="24" fillId="0" borderId="2" xfId="0" applyFont="1" applyBorder="1" applyAlignment="1">
      <alignment horizontal="center" vertical="center"/>
    </xf>
    <xf numFmtId="0" fontId="24" fillId="0" borderId="13" xfId="0" applyFont="1" applyBorder="1" applyAlignment="1">
      <alignment horizontal="center" vertical="center"/>
    </xf>
    <xf numFmtId="0" fontId="24" fillId="0" borderId="4" xfId="0" applyFont="1" applyBorder="1" applyAlignment="1">
      <alignment horizontal="center" vertical="center"/>
    </xf>
    <xf numFmtId="9" fontId="13" fillId="0" borderId="2" xfId="4" applyFont="1" applyFill="1" applyBorder="1" applyAlignment="1" applyProtection="1">
      <alignment horizontal="left" vertical="center"/>
      <protection locked="0"/>
    </xf>
    <xf numFmtId="0" fontId="16" fillId="0" borderId="9"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21" fillId="0" borderId="2" xfId="0" applyFont="1" applyBorder="1" applyAlignment="1">
      <alignment horizontal="center" vertical="center"/>
    </xf>
    <xf numFmtId="0" fontId="21" fillId="0" borderId="2" xfId="0" applyFont="1" applyBorder="1" applyAlignment="1">
      <alignment horizontal="left" vertical="center" wrapText="1"/>
    </xf>
    <xf numFmtId="0" fontId="12" fillId="5" borderId="2" xfId="0" applyFont="1" applyFill="1" applyBorder="1" applyAlignment="1">
      <alignment horizontal="center" vertical="center"/>
    </xf>
    <xf numFmtId="0" fontId="26" fillId="0" borderId="2" xfId="0" applyFont="1" applyBorder="1" applyAlignment="1">
      <alignment horizontal="left" vertical="center"/>
    </xf>
    <xf numFmtId="0" fontId="26" fillId="0" borderId="9" xfId="0" applyFont="1" applyBorder="1" applyAlignment="1">
      <alignment horizontal="lef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1" fillId="0" borderId="2" xfId="0" applyFont="1" applyBorder="1" applyAlignment="1">
      <alignment horizontal="left" vertical="center"/>
    </xf>
    <xf numFmtId="0" fontId="21" fillId="5" borderId="9" xfId="0" applyFont="1" applyFill="1" applyBorder="1" applyAlignment="1">
      <alignment horizontal="left" vertical="center"/>
    </xf>
    <xf numFmtId="0" fontId="21" fillId="5" borderId="3" xfId="0" applyFont="1" applyFill="1" applyBorder="1" applyAlignment="1">
      <alignment horizontal="left" vertical="center"/>
    </xf>
    <xf numFmtId="0" fontId="21" fillId="5" borderId="4" xfId="0" applyFont="1" applyFill="1" applyBorder="1" applyAlignment="1">
      <alignment horizontal="left" vertical="center"/>
    </xf>
    <xf numFmtId="0" fontId="26" fillId="0" borderId="2" xfId="0" applyFont="1" applyBorder="1" applyAlignment="1">
      <alignment horizontal="left" vertical="center" wrapText="1"/>
    </xf>
    <xf numFmtId="0" fontId="21" fillId="5" borderId="9" xfId="0" applyFont="1" applyFill="1" applyBorder="1" applyAlignment="1">
      <alignment horizontal="center" vertical="center"/>
    </xf>
    <xf numFmtId="0" fontId="21" fillId="5" borderId="3" xfId="0" applyFont="1" applyFill="1" applyBorder="1" applyAlignment="1">
      <alignment horizontal="center" vertical="center"/>
    </xf>
    <xf numFmtId="0" fontId="21" fillId="5" borderId="4" xfId="0" applyFont="1" applyFill="1" applyBorder="1" applyAlignment="1">
      <alignment horizontal="center" vertical="center"/>
    </xf>
    <xf numFmtId="0" fontId="27" fillId="5" borderId="2" xfId="1" applyFont="1" applyFill="1" applyBorder="1" applyAlignment="1">
      <alignment horizontal="center" vertical="center"/>
    </xf>
    <xf numFmtId="0" fontId="11" fillId="0" borderId="2" xfId="0" applyFont="1" applyBorder="1" applyAlignment="1">
      <alignment horizontal="left" vertical="center"/>
    </xf>
    <xf numFmtId="0" fontId="13" fillId="0" borderId="3" xfId="0" applyFont="1" applyBorder="1" applyAlignment="1" applyProtection="1">
      <alignment horizontal="left" vertical="center"/>
      <protection locked="0"/>
    </xf>
    <xf numFmtId="0" fontId="13" fillId="0" borderId="2" xfId="0" applyFont="1" applyBorder="1" applyAlignment="1" applyProtection="1">
      <alignment horizontal="left" vertical="center" wrapText="1"/>
      <protection locked="0"/>
    </xf>
    <xf numFmtId="166" fontId="12" fillId="0" borderId="0" xfId="0" applyNumberFormat="1" applyFont="1" applyAlignment="1">
      <alignment horizontal="center" vertical="center"/>
    </xf>
    <xf numFmtId="0" fontId="11" fillId="0" borderId="9"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21" fillId="7" borderId="2" xfId="0" applyFont="1" applyFill="1" applyBorder="1" applyAlignment="1">
      <alignment horizontal="left" vertical="center"/>
    </xf>
    <xf numFmtId="0" fontId="21" fillId="7" borderId="9" xfId="0" applyFont="1" applyFill="1" applyBorder="1" applyAlignment="1">
      <alignment horizontal="left" vertical="center"/>
    </xf>
    <xf numFmtId="0" fontId="21" fillId="7" borderId="3" xfId="0" applyFont="1" applyFill="1" applyBorder="1" applyAlignment="1">
      <alignment horizontal="left" vertical="center"/>
    </xf>
    <xf numFmtId="0" fontId="21" fillId="7" borderId="4" xfId="0" applyFont="1" applyFill="1" applyBorder="1" applyAlignment="1">
      <alignment horizontal="left" vertical="center"/>
    </xf>
    <xf numFmtId="0" fontId="12" fillId="0" borderId="5" xfId="0" applyFont="1" applyBorder="1" applyAlignment="1">
      <alignment horizontal="left" vertical="center"/>
    </xf>
    <xf numFmtId="0" fontId="12" fillId="5" borderId="9" xfId="0" applyFont="1" applyFill="1" applyBorder="1" applyAlignment="1">
      <alignment horizontal="left" vertical="center"/>
    </xf>
    <xf numFmtId="0" fontId="12" fillId="5" borderId="3" xfId="0" applyFont="1" applyFill="1" applyBorder="1" applyAlignment="1">
      <alignment horizontal="left" vertical="center"/>
    </xf>
    <xf numFmtId="0" fontId="12" fillId="5" borderId="4" xfId="0" applyFont="1" applyFill="1" applyBorder="1" applyAlignment="1">
      <alignment horizontal="left" vertical="center"/>
    </xf>
    <xf numFmtId="0" fontId="21" fillId="0" borderId="9"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12" fillId="0" borderId="9"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165" fontId="13" fillId="0" borderId="9" xfId="4" applyNumberFormat="1" applyFont="1" applyBorder="1" applyAlignment="1" applyProtection="1">
      <alignment horizontal="left" vertical="center"/>
      <protection locked="0"/>
    </xf>
    <xf numFmtId="165" fontId="13" fillId="0" borderId="4" xfId="4" applyNumberFormat="1" applyFont="1" applyBorder="1" applyAlignment="1" applyProtection="1">
      <alignment horizontal="left" vertical="center"/>
      <protection locked="0"/>
    </xf>
    <xf numFmtId="0" fontId="11" fillId="5" borderId="9" xfId="2" applyFont="1" applyFill="1" applyBorder="1" applyAlignment="1">
      <alignment horizontal="left" vertical="center"/>
    </xf>
    <xf numFmtId="0" fontId="11" fillId="5" borderId="3" xfId="2" applyFont="1" applyFill="1" applyBorder="1" applyAlignment="1">
      <alignment horizontal="left" vertical="center"/>
    </xf>
    <xf numFmtId="0" fontId="11" fillId="5" borderId="4" xfId="2" applyFont="1" applyFill="1" applyBorder="1" applyAlignment="1">
      <alignment horizontal="left" vertical="center"/>
    </xf>
    <xf numFmtId="0" fontId="11" fillId="0" borderId="14" xfId="2" applyFont="1" applyBorder="1" applyAlignment="1">
      <alignment horizontal="left" vertical="center"/>
    </xf>
    <xf numFmtId="0" fontId="11" fillId="0" borderId="5" xfId="2" applyFont="1" applyBorder="1" applyAlignment="1">
      <alignment horizontal="left" vertical="center"/>
    </xf>
    <xf numFmtId="0" fontId="11" fillId="0" borderId="15" xfId="2" applyFont="1" applyBorder="1" applyAlignment="1">
      <alignment horizontal="left" vertical="center"/>
    </xf>
    <xf numFmtId="0" fontId="11" fillId="0" borderId="2" xfId="2" applyFont="1" applyBorder="1" applyAlignment="1">
      <alignment horizontal="left" vertical="center"/>
    </xf>
    <xf numFmtId="0" fontId="27" fillId="5" borderId="9" xfId="1" applyFont="1" applyFill="1" applyBorder="1" applyAlignment="1">
      <alignment horizontal="center" vertical="center"/>
    </xf>
    <xf numFmtId="0" fontId="27" fillId="5" borderId="3" xfId="1" applyFont="1" applyFill="1" applyBorder="1" applyAlignment="1">
      <alignment horizontal="center" vertical="center"/>
    </xf>
    <xf numFmtId="0" fontId="27" fillId="5" borderId="4" xfId="1" applyFont="1" applyFill="1" applyBorder="1" applyAlignment="1">
      <alignment horizontal="center" vertical="center"/>
    </xf>
    <xf numFmtId="0" fontId="11" fillId="5" borderId="9" xfId="2" applyFont="1" applyFill="1" applyBorder="1" applyAlignment="1">
      <alignment horizontal="center" vertical="center"/>
    </xf>
    <xf numFmtId="0" fontId="11" fillId="5" borderId="3" xfId="2" applyFont="1" applyFill="1" applyBorder="1" applyAlignment="1">
      <alignment horizontal="center" vertical="center"/>
    </xf>
    <xf numFmtId="0" fontId="11" fillId="5" borderId="4" xfId="2" applyFont="1" applyFill="1" applyBorder="1" applyAlignment="1">
      <alignment horizontal="center" vertical="center"/>
    </xf>
    <xf numFmtId="0" fontId="11" fillId="0" borderId="2" xfId="2" applyFont="1" applyFill="1" applyBorder="1" applyAlignment="1">
      <alignment horizontal="left" vertical="center"/>
    </xf>
    <xf numFmtId="0" fontId="14" fillId="0" borderId="2" xfId="0" applyFont="1" applyBorder="1" applyAlignment="1">
      <alignment horizontal="left" vertical="center"/>
    </xf>
    <xf numFmtId="0" fontId="11" fillId="0" borderId="9" xfId="2" applyFont="1" applyBorder="1" applyAlignment="1">
      <alignment horizontal="center" vertical="center"/>
    </xf>
    <xf numFmtId="0" fontId="11" fillId="0" borderId="3" xfId="2" applyFont="1" applyBorder="1" applyAlignment="1">
      <alignment horizontal="center" vertical="center"/>
    </xf>
    <xf numFmtId="0" fontId="11" fillId="0" borderId="4" xfId="2" applyFont="1" applyBorder="1" applyAlignment="1">
      <alignment horizontal="center" vertical="center"/>
    </xf>
    <xf numFmtId="0" fontId="12" fillId="5" borderId="9" xfId="0" applyFont="1" applyFill="1" applyBorder="1" applyAlignment="1">
      <alignment horizontal="center" vertical="center"/>
    </xf>
    <xf numFmtId="0" fontId="12" fillId="5" borderId="3" xfId="0" applyFont="1" applyFill="1" applyBorder="1" applyAlignment="1">
      <alignment horizontal="center" vertical="center"/>
    </xf>
    <xf numFmtId="0" fontId="12" fillId="5" borderId="4" xfId="0" applyFont="1" applyFill="1" applyBorder="1" applyAlignment="1">
      <alignment horizontal="center" vertical="center"/>
    </xf>
    <xf numFmtId="0" fontId="0" fillId="0" borderId="6" xfId="0" applyBorder="1" applyAlignment="1">
      <alignment horizontal="left"/>
    </xf>
    <xf numFmtId="0" fontId="7" fillId="0" borderId="6" xfId="0" applyFont="1" applyBorder="1" applyAlignment="1">
      <alignment horizontal="left"/>
    </xf>
    <xf numFmtId="0" fontId="3" fillId="0" borderId="2" xfId="0" applyFont="1" applyBorder="1" applyAlignment="1">
      <alignment horizontal="center"/>
    </xf>
    <xf numFmtId="0" fontId="3" fillId="0" borderId="7" xfId="0" applyFont="1" applyBorder="1" applyAlignment="1">
      <alignment horizont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cellXfs>
  <cellStyles count="6">
    <cellStyle name="Comma" xfId="5" builtinId="3"/>
    <cellStyle name="Currency" xfId="3" builtinId="4"/>
    <cellStyle name="Heading 3" xfId="2" builtinId="18"/>
    <cellStyle name="Normal" xfId="0" builtinId="0"/>
    <cellStyle name="Percent" xfId="4" builtinId="5"/>
    <cellStyle name="Title" xfId="1" builtinId="15"/>
  </cellStyles>
  <dxfs count="52">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patternType="none">
          <bgColor auto="1"/>
        </patternFill>
      </fill>
    </dxf>
    <dxf>
      <font>
        <color theme="0"/>
      </font>
    </dxf>
    <dxf>
      <font>
        <color theme="0"/>
      </font>
    </dxf>
    <dxf>
      <font>
        <color theme="0"/>
      </font>
    </dxf>
    <dxf>
      <font>
        <color theme="0"/>
      </font>
      <fill>
        <patternFill patternType="none">
          <bgColor auto="1"/>
        </patternFill>
      </fill>
    </dxf>
    <dxf>
      <font>
        <color theme="0"/>
      </font>
      <fill>
        <patternFill patternType="none">
          <bgColor auto="1"/>
        </patternFill>
      </fill>
    </dxf>
    <dxf>
      <font>
        <color theme="0"/>
      </font>
    </dxf>
    <dxf>
      <font>
        <color theme="0"/>
      </font>
      <fill>
        <patternFill patternType="none">
          <bgColor auto="1"/>
        </patternFill>
      </fill>
    </dxf>
    <dxf>
      <font>
        <color theme="0"/>
      </font>
    </dxf>
    <dxf>
      <font>
        <color theme="0"/>
      </font>
      <fill>
        <patternFill patternType="none">
          <bgColor auto="1"/>
        </patternFill>
      </fill>
    </dxf>
    <dxf>
      <font>
        <color theme="0"/>
      </font>
      <fill>
        <patternFill patternType="none">
          <bgColor auto="1"/>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0000FF"/>
      <color rgb="FF99CCFF"/>
      <color rgb="FF3399FF"/>
      <color rgb="FF0066FF"/>
      <color rgb="FF66CCF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Feed</a:t>
            </a:r>
            <a:r>
              <a:rPr lang="en-US" baseline="0"/>
              <a:t> intake of broilers coorelated to live weight</a:t>
            </a:r>
            <a:endParaRPr lang="en-US"/>
          </a:p>
        </c:rich>
      </c:tx>
      <c:overlay val="0"/>
    </c:title>
    <c:autoTitleDeleted val="0"/>
    <c:plotArea>
      <c:layout/>
      <c:scatterChart>
        <c:scatterStyle val="smoothMarker"/>
        <c:varyColors val="0"/>
        <c:ser>
          <c:idx val="4"/>
          <c:order val="4"/>
          <c:tx>
            <c:strRef>
              <c:f>'Feed Intake'!$I$27</c:f>
              <c:strCache>
                <c:ptCount val="1"/>
                <c:pt idx="0">
                  <c:v>Heritage 18 wks</c:v>
                </c:pt>
              </c:strCache>
            </c:strRef>
          </c:tx>
          <c:marker>
            <c:symbol val="none"/>
          </c:marker>
          <c:xVal>
            <c:numRef>
              <c:f>'Feed Intake'!$D$28:$D$36</c:f>
              <c:numCache>
                <c:formatCode>0.00</c:formatCode>
                <c:ptCount val="9"/>
                <c:pt idx="0">
                  <c:v>0.21500000000000002</c:v>
                </c:pt>
                <c:pt idx="1">
                  <c:v>0.56000000000000005</c:v>
                </c:pt>
                <c:pt idx="2">
                  <c:v>1.115</c:v>
                </c:pt>
                <c:pt idx="3">
                  <c:v>1.8499999999999999</c:v>
                </c:pt>
                <c:pt idx="4">
                  <c:v>2.74</c:v>
                </c:pt>
                <c:pt idx="5">
                  <c:v>3.7199999999999998</c:v>
                </c:pt>
                <c:pt idx="6">
                  <c:v>4.7149999999999999</c:v>
                </c:pt>
                <c:pt idx="7">
                  <c:v>5.68</c:v>
                </c:pt>
                <c:pt idx="8">
                  <c:v>6.6</c:v>
                </c:pt>
              </c:numCache>
            </c:numRef>
          </c:xVal>
          <c:yVal>
            <c:numRef>
              <c:f>'Feed Intake'!$I$28:$I$36</c:f>
              <c:numCache>
                <c:formatCode>0.00</c:formatCode>
                <c:ptCount val="9"/>
                <c:pt idx="0">
                  <c:v>0.83700056769311582</c:v>
                </c:pt>
                <c:pt idx="1">
                  <c:v>2.2086277018696241</c:v>
                </c:pt>
                <c:pt idx="2">
                  <c:v>4.577550445245933</c:v>
                </c:pt>
                <c:pt idx="3">
                  <c:v>8.0230249171239585</c:v>
                </c:pt>
                <c:pt idx="4">
                  <c:v>12.665285489804715</c:v>
                </c:pt>
                <c:pt idx="5">
                  <c:v>18.372783596005839</c:v>
                </c:pt>
                <c:pt idx="6">
                  <c:v>24.806521941061412</c:v>
                </c:pt>
                <c:pt idx="7">
                  <c:v>31.661190110250427</c:v>
                </c:pt>
                <c:pt idx="8">
                  <c:v>38.760015230944958</c:v>
                </c:pt>
              </c:numCache>
            </c:numRef>
          </c:yVal>
          <c:smooth val="1"/>
          <c:extLst>
            <c:ext xmlns:c16="http://schemas.microsoft.com/office/drawing/2014/chart" uri="{C3380CC4-5D6E-409C-BE32-E72D297353CC}">
              <c16:uniqueId val="{00000000-2177-42DC-A3FF-171BE23C3C6A}"/>
            </c:ext>
          </c:extLst>
        </c:ser>
        <c:ser>
          <c:idx val="0"/>
          <c:order val="0"/>
          <c:tx>
            <c:strRef>
              <c:f>'Feed Intake'!$E$27</c:f>
              <c:strCache>
                <c:ptCount val="1"/>
                <c:pt idx="0">
                  <c:v>Cornish X</c:v>
                </c:pt>
              </c:strCache>
            </c:strRef>
          </c:tx>
          <c:marker>
            <c:symbol val="none"/>
          </c:marker>
          <c:xVal>
            <c:numRef>
              <c:f>'Feed Intake'!$D$28:$D$36</c:f>
              <c:numCache>
                <c:formatCode>0.00</c:formatCode>
                <c:ptCount val="9"/>
                <c:pt idx="0">
                  <c:v>0.21500000000000002</c:v>
                </c:pt>
                <c:pt idx="1">
                  <c:v>0.56000000000000005</c:v>
                </c:pt>
                <c:pt idx="2">
                  <c:v>1.115</c:v>
                </c:pt>
                <c:pt idx="3">
                  <c:v>1.8499999999999999</c:v>
                </c:pt>
                <c:pt idx="4">
                  <c:v>2.74</c:v>
                </c:pt>
                <c:pt idx="5">
                  <c:v>3.7199999999999998</c:v>
                </c:pt>
                <c:pt idx="6">
                  <c:v>4.7149999999999999</c:v>
                </c:pt>
                <c:pt idx="7">
                  <c:v>5.68</c:v>
                </c:pt>
                <c:pt idx="8">
                  <c:v>6.6</c:v>
                </c:pt>
              </c:numCache>
            </c:numRef>
          </c:xVal>
          <c:yVal>
            <c:numRef>
              <c:f>'Feed Intake'!$E$28:$E$36</c:f>
              <c:numCache>
                <c:formatCode>0.00</c:formatCode>
                <c:ptCount val="9"/>
                <c:pt idx="0">
                  <c:v>0.34875023653879828</c:v>
                </c:pt>
                <c:pt idx="1">
                  <c:v>0.92026154244567682</c:v>
                </c:pt>
                <c:pt idx="2">
                  <c:v>1.9073126855191389</c:v>
                </c:pt>
                <c:pt idx="3">
                  <c:v>3.3429270488016494</c:v>
                </c:pt>
                <c:pt idx="4">
                  <c:v>5.2772022874186311</c:v>
                </c:pt>
                <c:pt idx="5">
                  <c:v>7.6553264983357669</c:v>
                </c:pt>
                <c:pt idx="6">
                  <c:v>10.336050808775589</c:v>
                </c:pt>
                <c:pt idx="7">
                  <c:v>13.192162545937679</c:v>
                </c:pt>
                <c:pt idx="8">
                  <c:v>16.150006346227066</c:v>
                </c:pt>
              </c:numCache>
            </c:numRef>
          </c:yVal>
          <c:smooth val="1"/>
          <c:extLst>
            <c:ext xmlns:c16="http://schemas.microsoft.com/office/drawing/2014/chart" uri="{C3380CC4-5D6E-409C-BE32-E72D297353CC}">
              <c16:uniqueId val="{00000001-2177-42DC-A3FF-171BE23C3C6A}"/>
            </c:ext>
          </c:extLst>
        </c:ser>
        <c:ser>
          <c:idx val="1"/>
          <c:order val="1"/>
          <c:tx>
            <c:strRef>
              <c:f>'Feed Intake'!$F$27</c:f>
              <c:strCache>
                <c:ptCount val="1"/>
                <c:pt idx="0">
                  <c:v>Freedom Ranger</c:v>
                </c:pt>
              </c:strCache>
            </c:strRef>
          </c:tx>
          <c:marker>
            <c:symbol val="none"/>
          </c:marker>
          <c:xVal>
            <c:numRef>
              <c:f>'Feed Intake'!$D$28:$D$36</c:f>
              <c:numCache>
                <c:formatCode>0.00</c:formatCode>
                <c:ptCount val="9"/>
                <c:pt idx="0">
                  <c:v>0.21500000000000002</c:v>
                </c:pt>
                <c:pt idx="1">
                  <c:v>0.56000000000000005</c:v>
                </c:pt>
                <c:pt idx="2">
                  <c:v>1.115</c:v>
                </c:pt>
                <c:pt idx="3">
                  <c:v>1.8499999999999999</c:v>
                </c:pt>
                <c:pt idx="4">
                  <c:v>2.74</c:v>
                </c:pt>
                <c:pt idx="5">
                  <c:v>3.7199999999999998</c:v>
                </c:pt>
                <c:pt idx="6">
                  <c:v>4.7149999999999999</c:v>
                </c:pt>
                <c:pt idx="7">
                  <c:v>5.68</c:v>
                </c:pt>
                <c:pt idx="8">
                  <c:v>6.6</c:v>
                </c:pt>
              </c:numCache>
            </c:numRef>
          </c:xVal>
          <c:yVal>
            <c:numRef>
              <c:f>'Feed Intake'!$F$28:$F$36</c:f>
              <c:numCache>
                <c:formatCode>0.00</c:formatCode>
                <c:ptCount val="9"/>
                <c:pt idx="0">
                  <c:v>0.48825033115431754</c:v>
                </c:pt>
                <c:pt idx="1">
                  <c:v>1.2883661594239475</c:v>
                </c:pt>
                <c:pt idx="2">
                  <c:v>2.6702377597267941</c:v>
                </c:pt>
                <c:pt idx="3">
                  <c:v>4.6800978683223091</c:v>
                </c:pt>
                <c:pt idx="4">
                  <c:v>7.388083202386083</c:v>
                </c:pt>
                <c:pt idx="5">
                  <c:v>10.717457097670072</c:v>
                </c:pt>
                <c:pt idx="6">
                  <c:v>14.470471132285823</c:v>
                </c:pt>
                <c:pt idx="7">
                  <c:v>18.46902756431275</c:v>
                </c:pt>
                <c:pt idx="8">
                  <c:v>22.610008884717892</c:v>
                </c:pt>
              </c:numCache>
            </c:numRef>
          </c:yVal>
          <c:smooth val="1"/>
          <c:extLst>
            <c:ext xmlns:c16="http://schemas.microsoft.com/office/drawing/2014/chart" uri="{C3380CC4-5D6E-409C-BE32-E72D297353CC}">
              <c16:uniqueId val="{00000002-2177-42DC-A3FF-171BE23C3C6A}"/>
            </c:ext>
          </c:extLst>
        </c:ser>
        <c:ser>
          <c:idx val="2"/>
          <c:order val="2"/>
          <c:tx>
            <c:strRef>
              <c:f>'Feed Intake'!$G$27</c:f>
              <c:strCache>
                <c:ptCount val="1"/>
                <c:pt idx="0">
                  <c:v>Heritage 12 wks</c:v>
                </c:pt>
              </c:strCache>
            </c:strRef>
          </c:tx>
          <c:marker>
            <c:symbol val="none"/>
          </c:marker>
          <c:xVal>
            <c:numRef>
              <c:f>'Feed Intake'!$D$28:$D$36</c:f>
              <c:numCache>
                <c:formatCode>0.00</c:formatCode>
                <c:ptCount val="9"/>
                <c:pt idx="0">
                  <c:v>0.21500000000000002</c:v>
                </c:pt>
                <c:pt idx="1">
                  <c:v>0.56000000000000005</c:v>
                </c:pt>
                <c:pt idx="2">
                  <c:v>1.115</c:v>
                </c:pt>
                <c:pt idx="3">
                  <c:v>1.8499999999999999</c:v>
                </c:pt>
                <c:pt idx="4">
                  <c:v>2.74</c:v>
                </c:pt>
                <c:pt idx="5">
                  <c:v>3.7199999999999998</c:v>
                </c:pt>
                <c:pt idx="6">
                  <c:v>4.7149999999999999</c:v>
                </c:pt>
                <c:pt idx="7">
                  <c:v>5.68</c:v>
                </c:pt>
                <c:pt idx="8">
                  <c:v>6.6</c:v>
                </c:pt>
              </c:numCache>
            </c:numRef>
          </c:xVal>
          <c:yVal>
            <c:numRef>
              <c:f>'Feed Intake'!$G$28:$G$36</c:f>
              <c:numCache>
                <c:formatCode>0.00</c:formatCode>
                <c:ptCount val="9"/>
                <c:pt idx="0">
                  <c:v>0.55800037846207728</c:v>
                </c:pt>
                <c:pt idx="1">
                  <c:v>1.472418467913083</c:v>
                </c:pt>
                <c:pt idx="2">
                  <c:v>3.0517002968306226</c:v>
                </c:pt>
                <c:pt idx="3">
                  <c:v>5.348683278082639</c:v>
                </c:pt>
                <c:pt idx="4">
                  <c:v>8.4435236598698094</c:v>
                </c:pt>
                <c:pt idx="5">
                  <c:v>12.248522397337227</c:v>
                </c:pt>
                <c:pt idx="6">
                  <c:v>16.537681294040944</c:v>
                </c:pt>
                <c:pt idx="7">
                  <c:v>21.107460073500288</c:v>
                </c:pt>
                <c:pt idx="8">
                  <c:v>25.840010153963306</c:v>
                </c:pt>
              </c:numCache>
            </c:numRef>
          </c:yVal>
          <c:smooth val="1"/>
          <c:extLst>
            <c:ext xmlns:c16="http://schemas.microsoft.com/office/drawing/2014/chart" uri="{C3380CC4-5D6E-409C-BE32-E72D297353CC}">
              <c16:uniqueId val="{00000003-2177-42DC-A3FF-171BE23C3C6A}"/>
            </c:ext>
          </c:extLst>
        </c:ser>
        <c:ser>
          <c:idx val="3"/>
          <c:order val="3"/>
          <c:tx>
            <c:strRef>
              <c:f>'Feed Intake'!$H$27</c:f>
              <c:strCache>
                <c:ptCount val="1"/>
                <c:pt idx="0">
                  <c:v>Heritage 14 wks</c:v>
                </c:pt>
              </c:strCache>
            </c:strRef>
          </c:tx>
          <c:marker>
            <c:symbol val="none"/>
          </c:marker>
          <c:xVal>
            <c:numRef>
              <c:f>'Feed Intake'!$D$28:$D$36</c:f>
              <c:numCache>
                <c:formatCode>0.00</c:formatCode>
                <c:ptCount val="9"/>
                <c:pt idx="0">
                  <c:v>0.21500000000000002</c:v>
                </c:pt>
                <c:pt idx="1">
                  <c:v>0.56000000000000005</c:v>
                </c:pt>
                <c:pt idx="2">
                  <c:v>1.115</c:v>
                </c:pt>
                <c:pt idx="3">
                  <c:v>1.8499999999999999</c:v>
                </c:pt>
                <c:pt idx="4">
                  <c:v>2.74</c:v>
                </c:pt>
                <c:pt idx="5">
                  <c:v>3.7199999999999998</c:v>
                </c:pt>
                <c:pt idx="6">
                  <c:v>4.7149999999999999</c:v>
                </c:pt>
                <c:pt idx="7">
                  <c:v>5.68</c:v>
                </c:pt>
                <c:pt idx="8">
                  <c:v>6.6</c:v>
                </c:pt>
              </c:numCache>
            </c:numRef>
          </c:xVal>
          <c:yVal>
            <c:numRef>
              <c:f>'Feed Intake'!$H$28:$H$36</c:f>
              <c:numCache>
                <c:formatCode>0.00</c:formatCode>
                <c:ptCount val="9"/>
                <c:pt idx="0">
                  <c:v>0.69750047307759655</c:v>
                </c:pt>
                <c:pt idx="1">
                  <c:v>1.8405230848913536</c:v>
                </c:pt>
                <c:pt idx="2">
                  <c:v>3.8146253710382778</c:v>
                </c:pt>
                <c:pt idx="3">
                  <c:v>6.6858540976032987</c:v>
                </c:pt>
                <c:pt idx="4">
                  <c:v>10.554404574837262</c:v>
                </c:pt>
                <c:pt idx="5">
                  <c:v>15.310652996671534</c:v>
                </c:pt>
                <c:pt idx="6">
                  <c:v>20.672101617551178</c:v>
                </c:pt>
                <c:pt idx="7">
                  <c:v>26.384325091875358</c:v>
                </c:pt>
                <c:pt idx="8">
                  <c:v>32.300012692454132</c:v>
                </c:pt>
              </c:numCache>
            </c:numRef>
          </c:yVal>
          <c:smooth val="1"/>
          <c:extLst>
            <c:ext xmlns:c16="http://schemas.microsoft.com/office/drawing/2014/chart" uri="{C3380CC4-5D6E-409C-BE32-E72D297353CC}">
              <c16:uniqueId val="{00000004-2177-42DC-A3FF-171BE23C3C6A}"/>
            </c:ext>
          </c:extLst>
        </c:ser>
        <c:dLbls>
          <c:showLegendKey val="0"/>
          <c:showVal val="0"/>
          <c:showCatName val="0"/>
          <c:showSerName val="0"/>
          <c:showPercent val="0"/>
          <c:showBubbleSize val="0"/>
        </c:dLbls>
        <c:axId val="86453248"/>
        <c:axId val="86463616"/>
      </c:scatterChart>
      <c:valAx>
        <c:axId val="86453248"/>
        <c:scaling>
          <c:orientation val="minMax"/>
        </c:scaling>
        <c:delete val="0"/>
        <c:axPos val="b"/>
        <c:title>
          <c:tx>
            <c:rich>
              <a:bodyPr/>
              <a:lstStyle/>
              <a:p>
                <a:pPr>
                  <a:defRPr/>
                </a:pPr>
                <a:r>
                  <a:rPr lang="en-US"/>
                  <a:t>Live Weight</a:t>
                </a:r>
              </a:p>
            </c:rich>
          </c:tx>
          <c:overlay val="0"/>
        </c:title>
        <c:numFmt formatCode="0.00" sourceLinked="1"/>
        <c:majorTickMark val="none"/>
        <c:minorTickMark val="none"/>
        <c:tickLblPos val="nextTo"/>
        <c:crossAx val="86463616"/>
        <c:crosses val="autoZero"/>
        <c:crossBetween val="midCat"/>
      </c:valAx>
      <c:valAx>
        <c:axId val="86463616"/>
        <c:scaling>
          <c:orientation val="minMax"/>
        </c:scaling>
        <c:delete val="0"/>
        <c:axPos val="l"/>
        <c:majorGridlines/>
        <c:title>
          <c:tx>
            <c:rich>
              <a:bodyPr/>
              <a:lstStyle/>
              <a:p>
                <a:pPr>
                  <a:defRPr/>
                </a:pPr>
                <a:r>
                  <a:rPr lang="en-US"/>
                  <a:t>Predicted</a:t>
                </a:r>
                <a:r>
                  <a:rPr lang="en-US" baseline="0"/>
                  <a:t> Cumulative Feed Intake</a:t>
                </a:r>
                <a:endParaRPr lang="en-US"/>
              </a:p>
            </c:rich>
          </c:tx>
          <c:overlay val="0"/>
        </c:title>
        <c:numFmt formatCode="0.00" sourceLinked="1"/>
        <c:majorTickMark val="none"/>
        <c:minorTickMark val="none"/>
        <c:tickLblPos val="nextTo"/>
        <c:crossAx val="8645324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xdr:col>
      <xdr:colOff>57150</xdr:colOff>
      <xdr:row>3</xdr:row>
      <xdr:rowOff>57150</xdr:rowOff>
    </xdr:from>
    <xdr:to>
      <xdr:col>8</xdr:col>
      <xdr:colOff>594382</xdr:colOff>
      <xdr:row>7</xdr:row>
      <xdr:rowOff>57150</xdr:rowOff>
    </xdr:to>
    <xdr:pic>
      <xdr:nvPicPr>
        <xdr:cNvPr id="2" name="Picture 1" descr="AgEcon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9850" y="771525"/>
          <a:ext cx="3128032"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78105</xdr:colOff>
      <xdr:row>1</xdr:row>
      <xdr:rowOff>106680</xdr:rowOff>
    </xdr:from>
    <xdr:to>
      <xdr:col>17</xdr:col>
      <xdr:colOff>577215</xdr:colOff>
      <xdr:row>21</xdr:row>
      <xdr:rowOff>17145</xdr:rowOff>
    </xdr:to>
    <xdr:graphicFrame macro="">
      <xdr:nvGraphicFramePr>
        <xdr:cNvPr id="4" name="Chart 3">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L26"/>
  <sheetViews>
    <sheetView showGridLines="0" workbookViewId="0">
      <selection activeCell="M7" sqref="M7"/>
    </sheetView>
  </sheetViews>
  <sheetFormatPr defaultRowHeight="12.75" x14ac:dyDescent="0.2"/>
  <cols>
    <col min="1" max="1" width="9.140625" style="31"/>
    <col min="2" max="12" width="9.7109375" style="31" customWidth="1"/>
    <col min="13" max="16384" width="9.140625" style="31"/>
  </cols>
  <sheetData>
    <row r="2" spans="2:12" ht="18" x14ac:dyDescent="0.25">
      <c r="B2" s="320" t="s">
        <v>193</v>
      </c>
      <c r="C2" s="320"/>
      <c r="D2" s="320"/>
      <c r="E2" s="320"/>
      <c r="F2" s="320"/>
      <c r="G2" s="320"/>
      <c r="H2" s="320"/>
      <c r="I2" s="320"/>
      <c r="J2" s="320"/>
      <c r="K2" s="320"/>
      <c r="L2" s="320"/>
    </row>
    <row r="10" spans="2:12" ht="30.75" customHeight="1" x14ac:dyDescent="0.2">
      <c r="B10" s="318" t="s">
        <v>16</v>
      </c>
      <c r="C10" s="318"/>
      <c r="D10" s="317" t="s">
        <v>194</v>
      </c>
      <c r="E10" s="317"/>
      <c r="F10" s="317"/>
      <c r="G10" s="317"/>
      <c r="H10" s="317"/>
      <c r="I10" s="317"/>
      <c r="J10" s="317"/>
      <c r="K10" s="317"/>
      <c r="L10" s="317"/>
    </row>
    <row r="11" spans="2:12" ht="30" customHeight="1" x14ac:dyDescent="0.2">
      <c r="B11" s="318" t="s">
        <v>187</v>
      </c>
      <c r="C11" s="318"/>
      <c r="D11" s="317" t="s">
        <v>195</v>
      </c>
      <c r="E11" s="317"/>
      <c r="F11" s="317"/>
      <c r="G11" s="317"/>
      <c r="H11" s="317"/>
      <c r="I11" s="317"/>
      <c r="J11" s="317"/>
      <c r="K11" s="317"/>
      <c r="L11" s="317"/>
    </row>
    <row r="12" spans="2:12" ht="44.25" customHeight="1" x14ac:dyDescent="0.2">
      <c r="B12" s="318" t="s">
        <v>188</v>
      </c>
      <c r="C12" s="318"/>
      <c r="D12" s="317" t="s">
        <v>201</v>
      </c>
      <c r="E12" s="317"/>
      <c r="F12" s="317"/>
      <c r="G12" s="317"/>
      <c r="H12" s="317"/>
      <c r="I12" s="317"/>
      <c r="J12" s="317"/>
      <c r="K12" s="317"/>
      <c r="L12" s="317"/>
    </row>
    <row r="13" spans="2:12" x14ac:dyDescent="0.2">
      <c r="B13" s="319" t="s">
        <v>186</v>
      </c>
      <c r="C13" s="319"/>
      <c r="D13" s="319"/>
      <c r="E13" s="319"/>
      <c r="F13" s="319"/>
      <c r="G13" s="319"/>
      <c r="H13" s="319"/>
      <c r="I13" s="319"/>
      <c r="J13" s="319"/>
      <c r="K13" s="319"/>
      <c r="L13" s="319"/>
    </row>
    <row r="14" spans="2:12" ht="30" customHeight="1" x14ac:dyDescent="0.2">
      <c r="B14" s="318" t="s">
        <v>189</v>
      </c>
      <c r="C14" s="318"/>
      <c r="D14" s="317" t="s">
        <v>199</v>
      </c>
      <c r="E14" s="317"/>
      <c r="F14" s="317"/>
      <c r="G14" s="317"/>
      <c r="H14" s="317"/>
      <c r="I14" s="317"/>
      <c r="J14" s="317"/>
      <c r="K14" s="317"/>
      <c r="L14" s="317"/>
    </row>
    <row r="15" spans="2:12" ht="30" customHeight="1" x14ac:dyDescent="0.2">
      <c r="B15" s="318" t="s">
        <v>190</v>
      </c>
      <c r="C15" s="318"/>
      <c r="D15" s="317" t="s">
        <v>196</v>
      </c>
      <c r="E15" s="317"/>
      <c r="F15" s="317"/>
      <c r="G15" s="317"/>
      <c r="H15" s="317"/>
      <c r="I15" s="317"/>
      <c r="J15" s="317"/>
      <c r="K15" s="317"/>
      <c r="L15" s="317"/>
    </row>
    <row r="16" spans="2:12" ht="30" customHeight="1" x14ac:dyDescent="0.2">
      <c r="B16" s="318" t="s">
        <v>191</v>
      </c>
      <c r="C16" s="318"/>
      <c r="D16" s="317" t="s">
        <v>197</v>
      </c>
      <c r="E16" s="317"/>
      <c r="F16" s="317"/>
      <c r="G16" s="317"/>
      <c r="H16" s="317"/>
      <c r="I16" s="317"/>
      <c r="J16" s="317"/>
      <c r="K16" s="317"/>
      <c r="L16" s="317"/>
    </row>
    <row r="17" spans="2:12" ht="47.25" customHeight="1" x14ac:dyDescent="0.2">
      <c r="B17" s="318" t="s">
        <v>87</v>
      </c>
      <c r="C17" s="318"/>
      <c r="D17" s="317" t="s">
        <v>200</v>
      </c>
      <c r="E17" s="317"/>
      <c r="F17" s="317"/>
      <c r="G17" s="317"/>
      <c r="H17" s="317"/>
      <c r="I17" s="317"/>
      <c r="J17" s="317"/>
      <c r="K17" s="317"/>
      <c r="L17" s="317"/>
    </row>
    <row r="18" spans="2:12" ht="30" customHeight="1" x14ac:dyDescent="0.2">
      <c r="B18" s="318" t="s">
        <v>192</v>
      </c>
      <c r="C18" s="318"/>
      <c r="D18" s="317" t="s">
        <v>198</v>
      </c>
      <c r="E18" s="317"/>
      <c r="F18" s="317"/>
      <c r="G18" s="317"/>
      <c r="H18" s="317"/>
      <c r="I18" s="317"/>
      <c r="J18" s="317"/>
      <c r="K18" s="317"/>
      <c r="L18" s="317"/>
    </row>
    <row r="20" spans="2:12" x14ac:dyDescent="0.2">
      <c r="B20" s="322" t="s">
        <v>171</v>
      </c>
      <c r="C20" s="322"/>
      <c r="D20" s="322"/>
      <c r="E20" s="322"/>
      <c r="F20" s="322"/>
      <c r="G20" s="322"/>
      <c r="H20" s="322"/>
      <c r="I20" s="322"/>
      <c r="J20" s="322"/>
      <c r="K20" s="322"/>
      <c r="L20" s="322"/>
    </row>
    <row r="21" spans="2:12" x14ac:dyDescent="0.2">
      <c r="D21" s="31" t="s">
        <v>172</v>
      </c>
      <c r="I21" s="31" t="s">
        <v>173</v>
      </c>
    </row>
    <row r="22" spans="2:12" x14ac:dyDescent="0.2">
      <c r="D22" s="31" t="s">
        <v>174</v>
      </c>
      <c r="I22" s="31" t="s">
        <v>175</v>
      </c>
    </row>
    <row r="23" spans="2:12" x14ac:dyDescent="0.2">
      <c r="D23" s="31" t="s">
        <v>176</v>
      </c>
      <c r="I23" s="31" t="s">
        <v>177</v>
      </c>
    </row>
    <row r="24" spans="2:12" x14ac:dyDescent="0.2">
      <c r="D24" s="137" t="s">
        <v>178</v>
      </c>
      <c r="I24" s="31" t="s">
        <v>179</v>
      </c>
    </row>
    <row r="26" spans="2:12" x14ac:dyDescent="0.2">
      <c r="B26" s="321">
        <v>42890</v>
      </c>
      <c r="C26" s="319"/>
      <c r="D26" s="319"/>
      <c r="E26" s="319"/>
      <c r="F26" s="319"/>
      <c r="G26" s="319"/>
      <c r="H26" s="319"/>
      <c r="I26" s="319"/>
      <c r="J26" s="319"/>
      <c r="K26" s="319"/>
      <c r="L26" s="319"/>
    </row>
  </sheetData>
  <sheetProtection algorithmName="SHA-512" hashValue="hIuFKCJ54oC8sxr5zsANx0Ov3GgaIg4+zrIEwvDJD4bcjPuivqL5M4nhRMf9SMqWhSskEKQOz1vIamFJ/yom7g==" saltValue="0JaNjl7wA4gZSRi5icsLDg==" spinCount="100000" sheet="1" objects="1" scenarios="1" formatCells="0" formatColumns="0" formatRows="0"/>
  <mergeCells count="20">
    <mergeCell ref="B2:L2"/>
    <mergeCell ref="B26:L26"/>
    <mergeCell ref="B20:L20"/>
    <mergeCell ref="B12:C12"/>
    <mergeCell ref="B11:C11"/>
    <mergeCell ref="B10:C10"/>
    <mergeCell ref="D18:L18"/>
    <mergeCell ref="D17:L17"/>
    <mergeCell ref="D16:L16"/>
    <mergeCell ref="D15:L15"/>
    <mergeCell ref="D14:L14"/>
    <mergeCell ref="D12:L12"/>
    <mergeCell ref="D11:L11"/>
    <mergeCell ref="D10:L10"/>
    <mergeCell ref="B18:C18"/>
    <mergeCell ref="B17:C17"/>
    <mergeCell ref="B16:C16"/>
    <mergeCell ref="B15:C15"/>
    <mergeCell ref="B14:C14"/>
    <mergeCell ref="B13:L13"/>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J7"/>
  <sheetViews>
    <sheetView workbookViewId="0">
      <selection activeCell="B9" sqref="B9"/>
    </sheetView>
  </sheetViews>
  <sheetFormatPr defaultRowHeight="15" x14ac:dyDescent="0.25"/>
  <sheetData>
    <row r="2" spans="2:10" x14ac:dyDescent="0.25">
      <c r="C2" t="s">
        <v>597</v>
      </c>
      <c r="D2" t="s">
        <v>598</v>
      </c>
      <c r="E2" t="s">
        <v>599</v>
      </c>
    </row>
    <row r="3" spans="2:10" x14ac:dyDescent="0.25">
      <c r="B3" t="s">
        <v>591</v>
      </c>
      <c r="C3">
        <v>5</v>
      </c>
      <c r="D3">
        <v>7.5</v>
      </c>
      <c r="J3" t="s">
        <v>596</v>
      </c>
    </row>
    <row r="4" spans="2:10" x14ac:dyDescent="0.25">
      <c r="B4" t="s">
        <v>592</v>
      </c>
      <c r="C4">
        <v>5</v>
      </c>
      <c r="D4">
        <v>7.5</v>
      </c>
      <c r="J4" t="s">
        <v>600</v>
      </c>
    </row>
    <row r="5" spans="2:10" x14ac:dyDescent="0.25">
      <c r="B5" t="s">
        <v>593</v>
      </c>
      <c r="F5" t="s">
        <v>602</v>
      </c>
      <c r="J5" t="s">
        <v>601</v>
      </c>
    </row>
    <row r="6" spans="2:10" x14ac:dyDescent="0.25">
      <c r="B6" t="s">
        <v>594</v>
      </c>
      <c r="J6" t="s">
        <v>605</v>
      </c>
    </row>
    <row r="7" spans="2:10" x14ac:dyDescent="0.25">
      <c r="B7" t="s">
        <v>595</v>
      </c>
      <c r="F7" t="s">
        <v>603</v>
      </c>
      <c r="J7" t="s">
        <v>604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B2:S38"/>
  <sheetViews>
    <sheetView workbookViewId="0">
      <selection activeCell="M20" sqref="M20"/>
    </sheetView>
  </sheetViews>
  <sheetFormatPr defaultColWidth="8.85546875" defaultRowHeight="15" x14ac:dyDescent="0.25"/>
  <cols>
    <col min="4" max="4" width="11" customWidth="1"/>
    <col min="9" max="9" width="10.42578125" customWidth="1"/>
    <col min="10" max="10" width="10.7109375" customWidth="1"/>
    <col min="19" max="19" width="10.85546875" customWidth="1"/>
  </cols>
  <sheetData>
    <row r="2" spans="2:19" x14ac:dyDescent="0.25">
      <c r="C2" t="s">
        <v>215</v>
      </c>
    </row>
    <row r="3" spans="2:19" x14ac:dyDescent="0.25">
      <c r="B3" s="429" t="s">
        <v>31</v>
      </c>
      <c r="C3" s="430" t="s">
        <v>35</v>
      </c>
      <c r="D3" s="430"/>
      <c r="E3" s="430"/>
      <c r="F3" s="430" t="s">
        <v>36</v>
      </c>
      <c r="G3" s="430"/>
      <c r="H3" s="430"/>
      <c r="I3" s="430" t="s">
        <v>39</v>
      </c>
      <c r="J3" s="430"/>
      <c r="K3" s="430"/>
      <c r="P3" s="5"/>
    </row>
    <row r="4" spans="2:19" x14ac:dyDescent="0.25">
      <c r="B4" s="429"/>
      <c r="C4" s="6" t="s">
        <v>34</v>
      </c>
      <c r="D4" s="6" t="s">
        <v>32</v>
      </c>
      <c r="E4" s="4" t="s">
        <v>33</v>
      </c>
      <c r="F4" s="6" t="s">
        <v>34</v>
      </c>
      <c r="G4" s="6" t="s">
        <v>32</v>
      </c>
      <c r="H4" s="4" t="s">
        <v>33</v>
      </c>
      <c r="I4" s="6" t="s">
        <v>34</v>
      </c>
      <c r="J4" s="6" t="s">
        <v>32</v>
      </c>
      <c r="K4" s="4" t="s">
        <v>33</v>
      </c>
      <c r="P4" s="5"/>
    </row>
    <row r="5" spans="2:19" x14ac:dyDescent="0.25">
      <c r="B5" s="7">
        <v>1</v>
      </c>
      <c r="C5" s="9">
        <v>0.34</v>
      </c>
      <c r="D5" s="9">
        <v>0.32</v>
      </c>
      <c r="E5" s="10">
        <v>0.33</v>
      </c>
      <c r="F5" s="9">
        <v>0.3</v>
      </c>
      <c r="G5" s="9">
        <v>0.28999999999999998</v>
      </c>
      <c r="H5" s="10">
        <v>0.28999999999999998</v>
      </c>
      <c r="I5" s="9">
        <v>0.3</v>
      </c>
      <c r="J5" s="9">
        <v>0.28999999999999998</v>
      </c>
      <c r="K5" s="10">
        <v>0.28999999999999998</v>
      </c>
      <c r="P5" s="5"/>
    </row>
    <row r="6" spans="2:19" x14ac:dyDescent="0.25">
      <c r="B6" s="7">
        <v>2</v>
      </c>
      <c r="C6" s="9">
        <v>0.83</v>
      </c>
      <c r="D6" s="9">
        <v>0.76</v>
      </c>
      <c r="E6" s="10">
        <v>0.79</v>
      </c>
      <c r="F6" s="9">
        <v>0.64</v>
      </c>
      <c r="G6" s="9">
        <v>0.6</v>
      </c>
      <c r="H6" s="10">
        <v>0.62</v>
      </c>
      <c r="I6" s="9">
        <v>0.94</v>
      </c>
      <c r="J6" s="9">
        <v>0.89</v>
      </c>
      <c r="K6" s="10">
        <v>0.91</v>
      </c>
      <c r="P6" s="5"/>
    </row>
    <row r="7" spans="2:19" x14ac:dyDescent="0.25">
      <c r="B7" s="7">
        <v>3</v>
      </c>
      <c r="C7" s="9">
        <v>1.51</v>
      </c>
      <c r="D7" s="9">
        <v>1.36</v>
      </c>
      <c r="E7" s="10">
        <v>1.44</v>
      </c>
      <c r="F7" s="9">
        <v>1.07</v>
      </c>
      <c r="G7" s="9">
        <v>0.98</v>
      </c>
      <c r="H7" s="10">
        <v>1.03</v>
      </c>
      <c r="I7" s="9">
        <v>2.0099999999999998</v>
      </c>
      <c r="J7" s="9">
        <v>1.87</v>
      </c>
      <c r="K7" s="10">
        <v>1.94</v>
      </c>
      <c r="P7" s="5"/>
    </row>
    <row r="8" spans="2:19" x14ac:dyDescent="0.25">
      <c r="B8" s="7">
        <v>4</v>
      </c>
      <c r="C8" s="9">
        <v>2.39</v>
      </c>
      <c r="D8" s="9">
        <v>2.13</v>
      </c>
      <c r="E8" s="10">
        <v>2.2599999999999998</v>
      </c>
      <c r="F8" s="9">
        <v>1.55</v>
      </c>
      <c r="G8" s="9">
        <v>1.42</v>
      </c>
      <c r="H8" s="10">
        <v>1.48</v>
      </c>
      <c r="I8" s="9">
        <v>3.56</v>
      </c>
      <c r="J8" s="9">
        <v>3.28</v>
      </c>
      <c r="K8" s="10">
        <v>3.42</v>
      </c>
      <c r="P8" s="5"/>
    </row>
    <row r="9" spans="2:19" x14ac:dyDescent="0.25">
      <c r="B9" s="7">
        <v>5</v>
      </c>
      <c r="C9" s="9">
        <v>3.47</v>
      </c>
      <c r="D9" s="9">
        <v>2.96</v>
      </c>
      <c r="E9" s="10">
        <v>3.22</v>
      </c>
      <c r="F9" s="9">
        <v>2.12</v>
      </c>
      <c r="G9" s="9">
        <v>1.63</v>
      </c>
      <c r="H9" s="10">
        <v>1.87</v>
      </c>
      <c r="I9" s="9">
        <v>5.68</v>
      </c>
      <c r="J9" s="9">
        <v>4.91</v>
      </c>
      <c r="K9" s="10">
        <v>5.3</v>
      </c>
      <c r="P9" s="5"/>
    </row>
    <row r="10" spans="2:19" x14ac:dyDescent="0.25">
      <c r="B10" s="7">
        <v>6</v>
      </c>
      <c r="C10" s="9">
        <v>4.5999999999999996</v>
      </c>
      <c r="D10" s="9">
        <v>3.84</v>
      </c>
      <c r="E10" s="10">
        <v>4.22</v>
      </c>
      <c r="F10" s="9">
        <v>2.52</v>
      </c>
      <c r="G10" s="9">
        <v>2.21</v>
      </c>
      <c r="H10" s="10">
        <v>2.36</v>
      </c>
      <c r="I10" s="9">
        <v>8.19</v>
      </c>
      <c r="J10" s="9">
        <v>7.12</v>
      </c>
      <c r="K10" s="10">
        <v>7.66</v>
      </c>
      <c r="P10" s="5"/>
    </row>
    <row r="11" spans="2:19" x14ac:dyDescent="0.25">
      <c r="B11" s="7">
        <v>7</v>
      </c>
      <c r="C11" s="9">
        <v>5.71</v>
      </c>
      <c r="D11" s="9">
        <v>4.7</v>
      </c>
      <c r="E11" s="10">
        <v>5.21</v>
      </c>
      <c r="F11" s="9">
        <v>2.82</v>
      </c>
      <c r="G11" s="9">
        <v>2.38</v>
      </c>
      <c r="H11" s="10">
        <v>2.6</v>
      </c>
      <c r="I11" s="9">
        <v>11.02</v>
      </c>
      <c r="J11" s="9">
        <v>9.5</v>
      </c>
      <c r="K11" s="10">
        <v>10.26</v>
      </c>
      <c r="P11" s="5"/>
    </row>
    <row r="12" spans="2:19" x14ac:dyDescent="0.25">
      <c r="B12" s="7">
        <v>8</v>
      </c>
      <c r="C12" s="9">
        <v>6.78</v>
      </c>
      <c r="D12" s="9">
        <v>5.52</v>
      </c>
      <c r="E12" s="10">
        <v>6.15</v>
      </c>
      <c r="F12" s="9">
        <v>3.16</v>
      </c>
      <c r="G12" s="9">
        <v>2.57</v>
      </c>
      <c r="H12" s="10">
        <v>2.86</v>
      </c>
      <c r="I12" s="9">
        <v>14.18</v>
      </c>
      <c r="J12" s="9">
        <v>12.07</v>
      </c>
      <c r="K12" s="10">
        <v>13.12</v>
      </c>
      <c r="P12" s="5"/>
    </row>
    <row r="13" spans="2:19" x14ac:dyDescent="0.25">
      <c r="B13" s="7">
        <v>9</v>
      </c>
      <c r="C13" s="9">
        <v>7.83</v>
      </c>
      <c r="D13" s="9">
        <v>6.27</v>
      </c>
      <c r="E13" s="10">
        <v>7.05</v>
      </c>
      <c r="F13" s="9">
        <v>3.48</v>
      </c>
      <c r="G13" s="9">
        <v>2.75</v>
      </c>
      <c r="H13" s="10">
        <v>3.11</v>
      </c>
      <c r="I13" s="9">
        <v>17.649999999999999</v>
      </c>
      <c r="J13" s="9">
        <v>14.82</v>
      </c>
      <c r="K13" s="10">
        <v>16.23</v>
      </c>
      <c r="P13" s="5"/>
      <c r="Q13" s="5"/>
      <c r="R13" s="5"/>
      <c r="S13" s="5"/>
    </row>
    <row r="16" spans="2:19" ht="45" x14ac:dyDescent="0.25">
      <c r="B16" s="12" t="s">
        <v>64</v>
      </c>
      <c r="C16" s="12" t="s">
        <v>15</v>
      </c>
      <c r="D16" s="12" t="s">
        <v>37</v>
      </c>
      <c r="G16" s="12" t="s">
        <v>65</v>
      </c>
      <c r="H16" s="12" t="s">
        <v>15</v>
      </c>
      <c r="J16" s="12" t="s">
        <v>37</v>
      </c>
    </row>
    <row r="17" spans="2:10" x14ac:dyDescent="0.25">
      <c r="B17" s="16">
        <v>0</v>
      </c>
      <c r="C17" s="16">
        <v>0.1</v>
      </c>
      <c r="D17" s="12"/>
      <c r="G17" s="16"/>
      <c r="H17" s="16"/>
      <c r="J17" s="12"/>
    </row>
    <row r="18" spans="2:10" x14ac:dyDescent="0.25">
      <c r="B18" s="7">
        <v>1</v>
      </c>
      <c r="C18" s="11">
        <v>0.33</v>
      </c>
      <c r="D18" s="11">
        <v>0.28999999999999998</v>
      </c>
      <c r="G18" s="7">
        <v>1</v>
      </c>
      <c r="H18" s="11">
        <f>AVERAGE(C17:C18)</f>
        <v>0.21500000000000002</v>
      </c>
      <c r="J18" s="11">
        <v>0.28999999999999998</v>
      </c>
    </row>
    <row r="19" spans="2:10" x14ac:dyDescent="0.25">
      <c r="B19" s="7">
        <v>2</v>
      </c>
      <c r="C19" s="11">
        <v>0.79</v>
      </c>
      <c r="D19" s="11">
        <v>0.62</v>
      </c>
      <c r="G19" s="7">
        <v>2</v>
      </c>
      <c r="H19" s="11">
        <f t="shared" ref="H19:H26" si="0">AVERAGE(C18:C19)</f>
        <v>0.56000000000000005</v>
      </c>
      <c r="J19" s="11">
        <v>0.62</v>
      </c>
    </row>
    <row r="20" spans="2:10" x14ac:dyDescent="0.25">
      <c r="B20" s="7">
        <v>3</v>
      </c>
      <c r="C20" s="11">
        <v>1.44</v>
      </c>
      <c r="D20" s="11">
        <v>1.03</v>
      </c>
      <c r="G20" s="7">
        <v>3</v>
      </c>
      <c r="H20" s="11">
        <f t="shared" si="0"/>
        <v>1.115</v>
      </c>
      <c r="J20" s="11">
        <v>1.03</v>
      </c>
    </row>
    <row r="21" spans="2:10" x14ac:dyDescent="0.25">
      <c r="B21" s="7">
        <v>4</v>
      </c>
      <c r="C21" s="11">
        <v>2.2599999999999998</v>
      </c>
      <c r="D21" s="11">
        <v>1.48</v>
      </c>
      <c r="G21" s="7">
        <v>4</v>
      </c>
      <c r="H21" s="11">
        <f t="shared" si="0"/>
        <v>1.8499999999999999</v>
      </c>
      <c r="J21" s="11">
        <v>1.48</v>
      </c>
    </row>
    <row r="22" spans="2:10" x14ac:dyDescent="0.25">
      <c r="B22" s="7">
        <v>5</v>
      </c>
      <c r="C22" s="11">
        <v>3.22</v>
      </c>
      <c r="D22" s="11">
        <v>1.87</v>
      </c>
      <c r="G22" s="7">
        <v>5</v>
      </c>
      <c r="H22" s="11">
        <f t="shared" si="0"/>
        <v>2.74</v>
      </c>
      <c r="J22" s="11">
        <v>1.87</v>
      </c>
    </row>
    <row r="23" spans="2:10" x14ac:dyDescent="0.25">
      <c r="B23" s="7">
        <v>6</v>
      </c>
      <c r="C23" s="11">
        <v>4.22</v>
      </c>
      <c r="D23" s="11">
        <v>2.36</v>
      </c>
      <c r="G23" s="7">
        <v>6</v>
      </c>
      <c r="H23" s="11">
        <f t="shared" si="0"/>
        <v>3.7199999999999998</v>
      </c>
      <c r="J23" s="11">
        <v>2.36</v>
      </c>
    </row>
    <row r="24" spans="2:10" x14ac:dyDescent="0.25">
      <c r="B24" s="7">
        <v>7</v>
      </c>
      <c r="C24" s="11">
        <v>5.21</v>
      </c>
      <c r="D24" s="11">
        <v>2.6</v>
      </c>
      <c r="G24" s="7">
        <v>7</v>
      </c>
      <c r="H24" s="11">
        <f t="shared" si="0"/>
        <v>4.7149999999999999</v>
      </c>
      <c r="J24" s="11">
        <v>2.6</v>
      </c>
    </row>
    <row r="25" spans="2:10" x14ac:dyDescent="0.25">
      <c r="B25" s="7">
        <v>8</v>
      </c>
      <c r="C25" s="11">
        <v>6.15</v>
      </c>
      <c r="D25" s="11">
        <v>2.86</v>
      </c>
      <c r="G25" s="7">
        <v>8</v>
      </c>
      <c r="H25" s="11">
        <f t="shared" si="0"/>
        <v>5.68</v>
      </c>
      <c r="J25" s="11">
        <v>2.86</v>
      </c>
    </row>
    <row r="26" spans="2:10" x14ac:dyDescent="0.25">
      <c r="B26" s="7">
        <v>9</v>
      </c>
      <c r="C26" s="11">
        <v>7.05</v>
      </c>
      <c r="D26" s="11">
        <v>3.11</v>
      </c>
      <c r="G26" s="7">
        <v>9</v>
      </c>
      <c r="H26" s="11">
        <f t="shared" si="0"/>
        <v>6.6</v>
      </c>
      <c r="J26" s="11">
        <v>3.11</v>
      </c>
    </row>
    <row r="27" spans="2:10" x14ac:dyDescent="0.25">
      <c r="B27" s="5"/>
      <c r="C27" s="5"/>
      <c r="D27" s="5"/>
      <c r="G27" s="5"/>
      <c r="H27" s="5"/>
      <c r="I27" s="5"/>
    </row>
    <row r="28" spans="2:10" ht="45" x14ac:dyDescent="0.25">
      <c r="B28" s="12" t="s">
        <v>64</v>
      </c>
      <c r="C28" s="12" t="s">
        <v>15</v>
      </c>
      <c r="D28" s="12" t="s">
        <v>38</v>
      </c>
      <c r="G28" s="12" t="s">
        <v>65</v>
      </c>
      <c r="H28" s="12" t="s">
        <v>15</v>
      </c>
      <c r="J28" s="12" t="s">
        <v>38</v>
      </c>
    </row>
    <row r="29" spans="2:10" x14ac:dyDescent="0.25">
      <c r="B29" s="16">
        <v>0</v>
      </c>
      <c r="C29" s="16">
        <v>0.1</v>
      </c>
      <c r="D29" s="12"/>
      <c r="G29" s="16">
        <v>0</v>
      </c>
      <c r="H29" s="16" t="s">
        <v>30</v>
      </c>
      <c r="I29" s="7" t="s">
        <v>67</v>
      </c>
      <c r="J29" s="12"/>
    </row>
    <row r="30" spans="2:10" x14ac:dyDescent="0.25">
      <c r="B30" s="7">
        <v>1</v>
      </c>
      <c r="C30" s="11">
        <v>0.33</v>
      </c>
      <c r="D30" s="11">
        <v>0.28999999999999998</v>
      </c>
      <c r="G30" s="7">
        <v>1</v>
      </c>
      <c r="H30" s="17">
        <f>AVERAGE(C29:C30)</f>
        <v>0.21500000000000002</v>
      </c>
      <c r="I30" s="3">
        <f>H30^2</f>
        <v>4.6225000000000009E-2</v>
      </c>
      <c r="J30" s="17">
        <v>0.28999999999999998</v>
      </c>
    </row>
    <row r="31" spans="2:10" x14ac:dyDescent="0.25">
      <c r="B31" s="7">
        <v>2</v>
      </c>
      <c r="C31" s="11">
        <v>0.79</v>
      </c>
      <c r="D31" s="11">
        <v>0.91</v>
      </c>
      <c r="G31" s="7">
        <v>2</v>
      </c>
      <c r="H31" s="17">
        <f t="shared" ref="H31:H38" si="1">AVERAGE(C30:C31)</f>
        <v>0.56000000000000005</v>
      </c>
      <c r="I31" s="3">
        <f t="shared" ref="I31:I38" si="2">H31^2</f>
        <v>0.31360000000000005</v>
      </c>
      <c r="J31" s="17">
        <v>0.91</v>
      </c>
    </row>
    <row r="32" spans="2:10" x14ac:dyDescent="0.25">
      <c r="B32" s="7">
        <v>3</v>
      </c>
      <c r="C32" s="11">
        <v>1.44</v>
      </c>
      <c r="D32" s="11">
        <v>1.94</v>
      </c>
      <c r="G32" s="7">
        <v>3</v>
      </c>
      <c r="H32" s="17">
        <f t="shared" si="1"/>
        <v>1.115</v>
      </c>
      <c r="I32" s="3">
        <f t="shared" si="2"/>
        <v>1.243225</v>
      </c>
      <c r="J32" s="17">
        <v>1.94</v>
      </c>
    </row>
    <row r="33" spans="2:10" x14ac:dyDescent="0.25">
      <c r="B33" s="7">
        <v>4</v>
      </c>
      <c r="C33" s="11">
        <v>2.2599999999999998</v>
      </c>
      <c r="D33" s="11">
        <v>3.42</v>
      </c>
      <c r="G33" s="7">
        <v>4</v>
      </c>
      <c r="H33" s="17">
        <f t="shared" si="1"/>
        <v>1.8499999999999999</v>
      </c>
      <c r="I33" s="3">
        <f t="shared" si="2"/>
        <v>3.4224999999999994</v>
      </c>
      <c r="J33" s="17">
        <v>3.42</v>
      </c>
    </row>
    <row r="34" spans="2:10" x14ac:dyDescent="0.25">
      <c r="B34" s="7">
        <v>5</v>
      </c>
      <c r="C34" s="11">
        <v>3.22</v>
      </c>
      <c r="D34" s="11">
        <v>5.3</v>
      </c>
      <c r="G34" s="7">
        <v>5</v>
      </c>
      <c r="H34" s="17">
        <f t="shared" si="1"/>
        <v>2.74</v>
      </c>
      <c r="I34" s="3">
        <f t="shared" si="2"/>
        <v>7.5076000000000009</v>
      </c>
      <c r="J34" s="17">
        <v>5.3</v>
      </c>
    </row>
    <row r="35" spans="2:10" x14ac:dyDescent="0.25">
      <c r="B35" s="7">
        <v>6</v>
      </c>
      <c r="C35" s="11">
        <v>4.22</v>
      </c>
      <c r="D35" s="11">
        <v>7.66</v>
      </c>
      <c r="G35" s="7">
        <v>6</v>
      </c>
      <c r="H35" s="17">
        <f t="shared" si="1"/>
        <v>3.7199999999999998</v>
      </c>
      <c r="I35" s="3">
        <f t="shared" si="2"/>
        <v>13.838399999999998</v>
      </c>
      <c r="J35" s="17">
        <v>7.66</v>
      </c>
    </row>
    <row r="36" spans="2:10" x14ac:dyDescent="0.25">
      <c r="B36" s="7">
        <v>7</v>
      </c>
      <c r="C36" s="11">
        <v>5.21</v>
      </c>
      <c r="D36" s="11">
        <v>10.26</v>
      </c>
      <c r="G36" s="7">
        <v>7</v>
      </c>
      <c r="H36" s="17">
        <f t="shared" si="1"/>
        <v>4.7149999999999999</v>
      </c>
      <c r="I36" s="3">
        <f t="shared" si="2"/>
        <v>22.231224999999998</v>
      </c>
      <c r="J36" s="17">
        <v>10.26</v>
      </c>
    </row>
    <row r="37" spans="2:10" x14ac:dyDescent="0.25">
      <c r="B37" s="7">
        <v>8</v>
      </c>
      <c r="C37" s="11">
        <v>6.15</v>
      </c>
      <c r="D37" s="11">
        <v>13.12</v>
      </c>
      <c r="G37" s="7">
        <v>8</v>
      </c>
      <c r="H37" s="17">
        <f t="shared" si="1"/>
        <v>5.68</v>
      </c>
      <c r="I37" s="3">
        <f t="shared" si="2"/>
        <v>32.2624</v>
      </c>
      <c r="J37" s="17">
        <v>13.12</v>
      </c>
    </row>
    <row r="38" spans="2:10" x14ac:dyDescent="0.25">
      <c r="B38" s="7">
        <v>9</v>
      </c>
      <c r="C38" s="11">
        <v>7.05</v>
      </c>
      <c r="D38" s="11">
        <v>16.23</v>
      </c>
      <c r="G38" s="7">
        <v>9</v>
      </c>
      <c r="H38" s="17">
        <f t="shared" si="1"/>
        <v>6.6</v>
      </c>
      <c r="I38" s="3">
        <f t="shared" si="2"/>
        <v>43.559999999999995</v>
      </c>
      <c r="J38" s="17">
        <v>16.23</v>
      </c>
    </row>
  </sheetData>
  <mergeCells count="4">
    <mergeCell ref="B3:B4"/>
    <mergeCell ref="I3:K3"/>
    <mergeCell ref="F3:H3"/>
    <mergeCell ref="C3:E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B2:D24"/>
  <sheetViews>
    <sheetView workbookViewId="0">
      <selection activeCell="D6" sqref="D6"/>
    </sheetView>
  </sheetViews>
  <sheetFormatPr defaultRowHeight="15" x14ac:dyDescent="0.25"/>
  <sheetData>
    <row r="2" spans="2:4" x14ac:dyDescent="0.25">
      <c r="B2" t="s">
        <v>157</v>
      </c>
    </row>
    <row r="4" spans="2:4" x14ac:dyDescent="0.25">
      <c r="B4" t="s">
        <v>153</v>
      </c>
    </row>
    <row r="5" spans="2:4" x14ac:dyDescent="0.25">
      <c r="B5" t="s">
        <v>154</v>
      </c>
    </row>
    <row r="6" spans="2:4" x14ac:dyDescent="0.25">
      <c r="D6" t="s">
        <v>155</v>
      </c>
    </row>
    <row r="8" spans="2:4" x14ac:dyDescent="0.25">
      <c r="B8" t="s">
        <v>156</v>
      </c>
    </row>
    <row r="11" spans="2:4" x14ac:dyDescent="0.25">
      <c r="B11" t="s">
        <v>161</v>
      </c>
    </row>
    <row r="12" spans="2:4" x14ac:dyDescent="0.25">
      <c r="B12" t="s">
        <v>162</v>
      </c>
    </row>
    <row r="13" spans="2:4" x14ac:dyDescent="0.25">
      <c r="B13" t="s">
        <v>163</v>
      </c>
    </row>
    <row r="14" spans="2:4" x14ac:dyDescent="0.25">
      <c r="B14" t="s">
        <v>164</v>
      </c>
    </row>
    <row r="15" spans="2:4" x14ac:dyDescent="0.25">
      <c r="B15" t="s">
        <v>165</v>
      </c>
    </row>
    <row r="18" spans="2:2" x14ac:dyDescent="0.25">
      <c r="B18" t="s">
        <v>169</v>
      </c>
    </row>
    <row r="19" spans="2:2" x14ac:dyDescent="0.25">
      <c r="B19" t="s">
        <v>412</v>
      </c>
    </row>
    <row r="20" spans="2:2" x14ac:dyDescent="0.25">
      <c r="B20" t="s">
        <v>170</v>
      </c>
    </row>
    <row r="22" spans="2:2" x14ac:dyDescent="0.25">
      <c r="B22" t="s">
        <v>166</v>
      </c>
    </row>
    <row r="23" spans="2:2" x14ac:dyDescent="0.25">
      <c r="B23" t="s">
        <v>168</v>
      </c>
    </row>
    <row r="24" spans="2:2" x14ac:dyDescent="0.25">
      <c r="B24"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O165"/>
  <sheetViews>
    <sheetView showGridLines="0" tabSelected="1" zoomScaleNormal="100" workbookViewId="0">
      <selection activeCell="J40" sqref="J40"/>
    </sheetView>
  </sheetViews>
  <sheetFormatPr defaultColWidth="8.85546875" defaultRowHeight="12.75" x14ac:dyDescent="0.25"/>
  <cols>
    <col min="1" max="1" width="5.28515625" style="30" customWidth="1"/>
    <col min="2" max="2" width="17" style="30" customWidth="1"/>
    <col min="3" max="3" width="13" style="30" customWidth="1"/>
    <col min="4" max="4" width="12.5703125" style="30" customWidth="1"/>
    <col min="5" max="5" width="13.85546875" style="30" customWidth="1"/>
    <col min="6" max="6" width="14.140625" style="30" customWidth="1"/>
    <col min="7" max="7" width="13.7109375" style="30" customWidth="1"/>
    <col min="8" max="8" width="14.140625" style="30" customWidth="1"/>
    <col min="9" max="9" width="5.28515625" style="30" customWidth="1"/>
    <col min="10" max="10" width="10.5703125" style="30" customWidth="1"/>
    <col min="11" max="11" width="11.7109375" style="30" customWidth="1"/>
    <col min="12" max="12" width="14.7109375" style="30" customWidth="1"/>
    <col min="13" max="13" width="14.28515625" style="30" customWidth="1"/>
    <col min="14" max="16384" width="8.85546875" style="30"/>
  </cols>
  <sheetData>
    <row r="2" spans="2:15" ht="15.75" x14ac:dyDescent="0.25">
      <c r="B2" s="325" t="s">
        <v>429</v>
      </c>
      <c r="C2" s="325"/>
      <c r="D2" s="325"/>
      <c r="E2" s="325"/>
      <c r="F2" s="325"/>
      <c r="G2" s="325"/>
      <c r="H2" s="325"/>
      <c r="I2" s="143"/>
    </row>
    <row r="3" spans="2:15" ht="12.75" customHeight="1" x14ac:dyDescent="0.25">
      <c r="B3" s="326"/>
      <c r="C3" s="326"/>
      <c r="D3" s="326"/>
      <c r="E3" s="326"/>
      <c r="F3" s="326"/>
      <c r="G3" s="326"/>
      <c r="H3" s="326"/>
      <c r="I3" s="32"/>
      <c r="J3" s="145" t="s">
        <v>217</v>
      </c>
      <c r="K3" s="146"/>
      <c r="L3" s="146"/>
      <c r="M3" s="146"/>
      <c r="N3" s="146"/>
      <c r="O3" s="146"/>
    </row>
    <row r="4" spans="2:15" ht="12.75" customHeight="1" x14ac:dyDescent="0.25">
      <c r="B4" s="328" t="s">
        <v>362</v>
      </c>
      <c r="C4" s="329"/>
      <c r="D4" s="329"/>
      <c r="E4" s="329"/>
      <c r="F4" s="330"/>
      <c r="G4" s="289">
        <v>250</v>
      </c>
      <c r="H4" s="116"/>
      <c r="J4" s="36"/>
      <c r="L4" s="115"/>
    </row>
    <row r="5" spans="2:15" ht="12.75" customHeight="1" x14ac:dyDescent="0.25">
      <c r="B5" s="328" t="s">
        <v>100</v>
      </c>
      <c r="C5" s="329"/>
      <c r="D5" s="329"/>
      <c r="E5" s="329"/>
      <c r="F5" s="330"/>
      <c r="G5" s="289">
        <v>4</v>
      </c>
      <c r="H5" s="116"/>
      <c r="J5" s="36"/>
    </row>
    <row r="6" spans="2:15" ht="12.75" customHeight="1" x14ac:dyDescent="0.25">
      <c r="B6" s="328" t="s">
        <v>363</v>
      </c>
      <c r="C6" s="329"/>
      <c r="D6" s="329"/>
      <c r="E6" s="329"/>
      <c r="F6" s="330"/>
      <c r="G6" s="222">
        <f>G4*G5</f>
        <v>1000</v>
      </c>
      <c r="H6" s="116"/>
      <c r="J6" s="36"/>
    </row>
    <row r="7" spans="2:15" ht="12.75" customHeight="1" x14ac:dyDescent="0.25">
      <c r="B7" s="328" t="s">
        <v>349</v>
      </c>
      <c r="C7" s="329"/>
      <c r="D7" s="329"/>
      <c r="E7" s="329"/>
      <c r="F7" s="330"/>
      <c r="G7" s="205">
        <f>Summary!F10</f>
        <v>878.75</v>
      </c>
      <c r="H7" s="116"/>
      <c r="J7" s="36" t="s">
        <v>411</v>
      </c>
    </row>
    <row r="8" spans="2:15" ht="4.5" customHeight="1" x14ac:dyDescent="0.25">
      <c r="B8" s="331"/>
      <c r="C8" s="332"/>
      <c r="D8" s="332"/>
      <c r="E8" s="332"/>
      <c r="F8" s="332"/>
      <c r="G8" s="332"/>
      <c r="H8" s="333"/>
      <c r="J8" s="36"/>
    </row>
    <row r="9" spans="2:15" ht="12.75" customHeight="1" x14ac:dyDescent="0.25">
      <c r="B9" s="327" t="s">
        <v>271</v>
      </c>
      <c r="C9" s="327"/>
      <c r="D9" s="327"/>
      <c r="E9" s="327"/>
      <c r="F9" s="327"/>
      <c r="G9" s="323" t="s">
        <v>344</v>
      </c>
      <c r="H9" s="323"/>
      <c r="J9" s="36" t="s">
        <v>436</v>
      </c>
    </row>
    <row r="10" spans="2:15" ht="12.75" customHeight="1" x14ac:dyDescent="0.25">
      <c r="B10" s="328" t="s">
        <v>365</v>
      </c>
      <c r="C10" s="329"/>
      <c r="D10" s="329"/>
      <c r="E10" s="329"/>
      <c r="F10" s="330"/>
      <c r="G10" s="289">
        <v>13</v>
      </c>
      <c r="H10" s="224" t="s">
        <v>366</v>
      </c>
      <c r="J10" s="36"/>
    </row>
    <row r="11" spans="2:15" ht="4.5" customHeight="1" x14ac:dyDescent="0.25">
      <c r="B11" s="331"/>
      <c r="C11" s="332"/>
      <c r="D11" s="332"/>
      <c r="E11" s="332"/>
      <c r="F11" s="332"/>
      <c r="G11" s="332"/>
      <c r="H11" s="333"/>
    </row>
    <row r="12" spans="2:15" ht="12.75" customHeight="1" x14ac:dyDescent="0.25">
      <c r="B12" s="327" t="s">
        <v>364</v>
      </c>
      <c r="C12" s="327"/>
      <c r="D12" s="327"/>
      <c r="E12" s="327"/>
      <c r="F12" s="327"/>
      <c r="G12" s="290">
        <v>5.5</v>
      </c>
      <c r="H12" s="116"/>
    </row>
    <row r="13" spans="2:15" ht="12.75" customHeight="1" x14ac:dyDescent="0.25">
      <c r="B13" s="327" t="s">
        <v>361</v>
      </c>
      <c r="C13" s="327"/>
      <c r="D13" s="327"/>
      <c r="E13" s="327"/>
      <c r="F13" s="327"/>
      <c r="G13" s="340" t="s">
        <v>158</v>
      </c>
      <c r="H13" s="341"/>
    </row>
    <row r="14" spans="2:15" ht="12.75" customHeight="1" x14ac:dyDescent="0.25">
      <c r="B14" s="327" t="str">
        <f>IF(G13='Drop Down Lists'!B11,"     Based on the breed selected, the estimated dressing percentage is:","     Enter the dressing percentage:")</f>
        <v xml:space="preserve">     Enter the dressing percentage:</v>
      </c>
      <c r="C14" s="327"/>
      <c r="D14" s="327"/>
      <c r="E14" s="327"/>
      <c r="F14" s="327"/>
      <c r="G14" s="225">
        <f>IF(G9='Drop Down Lists'!B4, I71, IF(G9='Drop Down Lists'!B5,I72,IF(G9='Drop Down Lists'!B6,I73,IF(G9='Drop Down Lists'!B7,I74,I75))))</f>
        <v>0.7</v>
      </c>
      <c r="H14" s="291">
        <v>0.72</v>
      </c>
    </row>
    <row r="15" spans="2:15" ht="12.75" customHeight="1" x14ac:dyDescent="0.25">
      <c r="B15" s="327" t="s">
        <v>341</v>
      </c>
      <c r="C15" s="327"/>
      <c r="D15" s="327"/>
      <c r="E15" s="327"/>
      <c r="F15" s="327"/>
      <c r="G15" s="221">
        <f>IF(G13='Drop Down Lists'!B11,G12*G14,G12*H14)</f>
        <v>3.96</v>
      </c>
      <c r="H15" s="116"/>
      <c r="J15" s="36"/>
    </row>
    <row r="16" spans="2:15" ht="4.5" customHeight="1" x14ac:dyDescent="0.25">
      <c r="B16" s="324"/>
      <c r="C16" s="324"/>
      <c r="D16" s="324"/>
      <c r="E16" s="324"/>
      <c r="F16" s="324"/>
      <c r="G16" s="324"/>
      <c r="H16" s="324"/>
      <c r="J16" s="36"/>
    </row>
    <row r="17" spans="2:10" ht="25.5" customHeight="1" x14ac:dyDescent="0.25">
      <c r="B17" s="331"/>
      <c r="C17" s="332"/>
      <c r="D17" s="333"/>
      <c r="E17" s="172" t="s">
        <v>618</v>
      </c>
      <c r="F17" s="172" t="s">
        <v>613</v>
      </c>
      <c r="G17" s="172" t="s">
        <v>617</v>
      </c>
      <c r="H17" s="172" t="s">
        <v>434</v>
      </c>
      <c r="J17" s="36"/>
    </row>
    <row r="18" spans="2:10" ht="12.75" customHeight="1" x14ac:dyDescent="0.25">
      <c r="B18" s="327" t="s">
        <v>614</v>
      </c>
      <c r="C18" s="327"/>
      <c r="D18" s="327"/>
      <c r="E18" s="292">
        <v>0.65</v>
      </c>
      <c r="F18" s="136">
        <f>E18*G7</f>
        <v>571.1875</v>
      </c>
      <c r="G18" s="136">
        <f>F18*G15</f>
        <v>2261.9025000000001</v>
      </c>
      <c r="H18" s="293">
        <v>5</v>
      </c>
      <c r="J18" s="36"/>
    </row>
    <row r="19" spans="2:10" ht="12.75" customHeight="1" x14ac:dyDescent="0.25">
      <c r="B19" s="327" t="s">
        <v>615</v>
      </c>
      <c r="C19" s="327"/>
      <c r="D19" s="327"/>
      <c r="E19" s="292">
        <v>0.3</v>
      </c>
      <c r="F19" s="136">
        <f>E19*G7</f>
        <v>263.625</v>
      </c>
      <c r="G19" s="136">
        <f>F19*G15</f>
        <v>1043.9549999999999</v>
      </c>
      <c r="H19" s="294">
        <v>4.5</v>
      </c>
      <c r="J19" s="36"/>
    </row>
    <row r="20" spans="2:10" ht="12.75" customHeight="1" x14ac:dyDescent="0.25">
      <c r="B20" s="327" t="s">
        <v>616</v>
      </c>
      <c r="C20" s="327"/>
      <c r="D20" s="327"/>
      <c r="E20" s="157">
        <f>1-E18-E19</f>
        <v>4.9999999999999989E-2</v>
      </c>
      <c r="F20" s="136">
        <f>E20*G7</f>
        <v>43.937499999999993</v>
      </c>
      <c r="G20" s="136">
        <f>F20*G15</f>
        <v>173.99249999999998</v>
      </c>
      <c r="H20" s="116"/>
      <c r="J20" s="36" t="s">
        <v>435</v>
      </c>
    </row>
    <row r="21" spans="2:10" ht="12.75" customHeight="1" x14ac:dyDescent="0.25">
      <c r="B21" s="352" t="s">
        <v>3</v>
      </c>
      <c r="C21" s="353"/>
      <c r="D21" s="354"/>
      <c r="E21" s="157">
        <f>SUM(E18:E20)</f>
        <v>1</v>
      </c>
      <c r="F21" s="283">
        <f>SUM(F18:F20)</f>
        <v>878.75</v>
      </c>
      <c r="G21" s="283">
        <f>SUM(G18:G20)</f>
        <v>3479.85</v>
      </c>
      <c r="H21" s="116"/>
      <c r="J21" s="36"/>
    </row>
    <row r="22" spans="2:10" ht="4.5" customHeight="1" x14ac:dyDescent="0.25">
      <c r="B22" s="324"/>
      <c r="C22" s="324"/>
      <c r="D22" s="324"/>
      <c r="E22" s="324"/>
      <c r="F22" s="324"/>
      <c r="G22" s="324"/>
      <c r="H22" s="324"/>
      <c r="I22" s="32"/>
      <c r="J22" s="36"/>
    </row>
    <row r="23" spans="2:10" ht="12.75" customHeight="1" x14ac:dyDescent="0.25">
      <c r="B23" s="327" t="s">
        <v>269</v>
      </c>
      <c r="C23" s="327"/>
      <c r="D23" s="327"/>
      <c r="E23" s="327"/>
      <c r="F23" s="327"/>
      <c r="G23" s="323" t="s">
        <v>113</v>
      </c>
      <c r="H23" s="323"/>
      <c r="I23" s="34"/>
      <c r="J23" s="36"/>
    </row>
    <row r="24" spans="2:10" ht="12.75" customHeight="1" x14ac:dyDescent="0.25">
      <c r="B24" s="327" t="str">
        <f>"     If "&amp;'Drop Down Lists'!B20&amp;", what style of mobile housing is provided? (Select one)"</f>
        <v xml:space="preserve">     If Mobile, what style of mobile housing is provided? (Select one)</v>
      </c>
      <c r="C24" s="327"/>
      <c r="D24" s="327"/>
      <c r="E24" s="327"/>
      <c r="F24" s="327"/>
      <c r="G24" s="323" t="s">
        <v>114</v>
      </c>
      <c r="H24" s="323"/>
      <c r="I24" s="34"/>
      <c r="J24" s="36"/>
    </row>
    <row r="25" spans="2:10" ht="4.5" customHeight="1" x14ac:dyDescent="0.25">
      <c r="B25" s="324"/>
      <c r="C25" s="324"/>
      <c r="D25" s="324"/>
      <c r="E25" s="324"/>
      <c r="F25" s="324"/>
      <c r="G25" s="324"/>
      <c r="H25" s="324"/>
      <c r="I25" s="35"/>
      <c r="J25" s="36"/>
    </row>
    <row r="26" spans="2:10" ht="12.75" customHeight="1" x14ac:dyDescent="0.25">
      <c r="B26" s="327" t="s">
        <v>270</v>
      </c>
      <c r="C26" s="327"/>
      <c r="D26" s="327"/>
      <c r="E26" s="327"/>
      <c r="F26" s="327"/>
      <c r="G26" s="323" t="s">
        <v>20</v>
      </c>
      <c r="H26" s="323"/>
      <c r="I26" s="34"/>
      <c r="J26" s="36"/>
    </row>
    <row r="27" spans="2:10" ht="4.5" customHeight="1" x14ac:dyDescent="0.25">
      <c r="B27" s="324"/>
      <c r="C27" s="324"/>
      <c r="D27" s="324"/>
      <c r="E27" s="324"/>
      <c r="F27" s="324"/>
      <c r="G27" s="324"/>
      <c r="H27" s="324"/>
      <c r="J27" s="36"/>
    </row>
    <row r="28" spans="2:10" hidden="1" x14ac:dyDescent="0.25">
      <c r="B28" s="328" t="s">
        <v>641</v>
      </c>
      <c r="C28" s="329"/>
      <c r="D28" s="329"/>
      <c r="E28" s="329"/>
      <c r="F28" s="330"/>
      <c r="G28" s="355" t="s">
        <v>639</v>
      </c>
      <c r="H28" s="356"/>
      <c r="J28" s="36"/>
    </row>
    <row r="29" spans="2:10" x14ac:dyDescent="0.25">
      <c r="B29" s="331"/>
      <c r="C29" s="332"/>
      <c r="D29" s="332"/>
      <c r="E29" s="332"/>
      <c r="F29" s="333"/>
      <c r="G29" s="173" t="s">
        <v>576</v>
      </c>
      <c r="H29" s="173" t="s">
        <v>577</v>
      </c>
      <c r="J29" s="36"/>
    </row>
    <row r="30" spans="2:10" ht="12.75" customHeight="1" x14ac:dyDescent="0.25">
      <c r="B30" s="327" t="s">
        <v>585</v>
      </c>
      <c r="C30" s="327"/>
      <c r="D30" s="327"/>
      <c r="E30" s="327"/>
      <c r="F30" s="327"/>
      <c r="G30" s="295">
        <v>1.5</v>
      </c>
      <c r="H30" s="276">
        <f>G30*G4</f>
        <v>375</v>
      </c>
      <c r="J30" s="36" t="s">
        <v>292</v>
      </c>
    </row>
    <row r="31" spans="2:10" ht="12.75" customHeight="1" x14ac:dyDescent="0.25">
      <c r="B31" s="344" t="str">
        <f>"     Enter the shipping cost per batch of "&amp;G4&amp; " chicks:"</f>
        <v xml:space="preserve">     Enter the shipping cost per batch of 250 chicks:</v>
      </c>
      <c r="C31" s="344"/>
      <c r="D31" s="344"/>
      <c r="E31" s="344"/>
      <c r="F31" s="344"/>
      <c r="G31" s="277">
        <f>H31/G4</f>
        <v>0.14000000000000001</v>
      </c>
      <c r="H31" s="296">
        <v>35</v>
      </c>
      <c r="J31" s="36" t="s">
        <v>442</v>
      </c>
    </row>
    <row r="32" spans="2:10" ht="12.75" customHeight="1" x14ac:dyDescent="0.25">
      <c r="B32" s="327" t="s">
        <v>578</v>
      </c>
      <c r="C32" s="327"/>
      <c r="D32" s="327"/>
      <c r="E32" s="327"/>
      <c r="F32" s="327"/>
      <c r="G32" s="278">
        <f>SUM(G30:G31)</f>
        <v>1.6400000000000001</v>
      </c>
      <c r="H32" s="276">
        <f>SUM(H30:H31)</f>
        <v>410</v>
      </c>
      <c r="J32" s="36"/>
    </row>
    <row r="33" spans="2:12" ht="4.5" customHeight="1" x14ac:dyDescent="0.25">
      <c r="B33" s="331"/>
      <c r="C33" s="332"/>
      <c r="D33" s="332"/>
      <c r="E33" s="332"/>
      <c r="F33" s="332"/>
      <c r="G33" s="332"/>
      <c r="H33" s="333"/>
      <c r="J33" s="36"/>
    </row>
    <row r="34" spans="2:12" ht="12.75" customHeight="1" x14ac:dyDescent="0.25">
      <c r="B34" s="327" t="s">
        <v>275</v>
      </c>
      <c r="C34" s="327"/>
      <c r="D34" s="327"/>
      <c r="E34" s="327"/>
      <c r="F34" s="327"/>
      <c r="G34" s="323" t="s">
        <v>102</v>
      </c>
      <c r="H34" s="323"/>
      <c r="I34" s="34"/>
      <c r="J34" s="147"/>
      <c r="K34" s="40"/>
      <c r="L34" s="41"/>
    </row>
    <row r="35" spans="2:12" ht="12.75" customHeight="1" x14ac:dyDescent="0.25">
      <c r="B35" s="327" t="str">
        <f>IF(G34='Drop Down Lists'!B35,"     Enter the price of feed per ton:", "     Enter the price of feed per bag:")</f>
        <v xml:space="preserve">     Enter the price of feed per bag:</v>
      </c>
      <c r="C35" s="327"/>
      <c r="D35" s="327"/>
      <c r="E35" s="327"/>
      <c r="F35" s="327"/>
      <c r="G35" s="297">
        <v>13.5</v>
      </c>
      <c r="H35" s="297">
        <v>600</v>
      </c>
      <c r="I35" s="42">
        <f>IF(G34='Drop Down Lists'!B36,G35/G36,H35/2000)</f>
        <v>0.27</v>
      </c>
      <c r="J35" s="36"/>
      <c r="K35" s="43"/>
      <c r="L35" s="44"/>
    </row>
    <row r="36" spans="2:12" ht="12.75" customHeight="1" x14ac:dyDescent="0.25">
      <c r="B36" s="327" t="s">
        <v>250</v>
      </c>
      <c r="C36" s="327"/>
      <c r="D36" s="327"/>
      <c r="E36" s="327"/>
      <c r="F36" s="327"/>
      <c r="G36" s="298">
        <v>50</v>
      </c>
      <c r="H36" s="144"/>
      <c r="I36" s="42"/>
      <c r="J36" s="36"/>
      <c r="K36" s="43"/>
      <c r="L36" s="44"/>
    </row>
    <row r="37" spans="2:12" ht="4.5" customHeight="1" x14ac:dyDescent="0.25">
      <c r="B37" s="331"/>
      <c r="C37" s="332"/>
      <c r="D37" s="332"/>
      <c r="E37" s="332"/>
      <c r="F37" s="332"/>
      <c r="G37" s="332"/>
      <c r="H37" s="333"/>
      <c r="I37" s="34"/>
      <c r="J37" s="36"/>
    </row>
    <row r="38" spans="2:12" ht="12.75" customHeight="1" x14ac:dyDescent="0.25">
      <c r="B38" s="328" t="s">
        <v>348</v>
      </c>
      <c r="C38" s="329"/>
      <c r="D38" s="329"/>
      <c r="E38" s="329"/>
      <c r="F38" s="330"/>
      <c r="G38" s="340" t="s">
        <v>158</v>
      </c>
      <c r="H38" s="341"/>
      <c r="I38" s="34"/>
      <c r="J38" s="36"/>
    </row>
    <row r="39" spans="2:12" ht="12.75" customHeight="1" x14ac:dyDescent="0.25">
      <c r="B39" s="328" t="str">
        <f>IF(G38='Drop Down Lists'!B11,"     Estimated total number of pounds to reach market weight per bird:","     Enter the total number of pounds per bird to reach market weight:")</f>
        <v xml:space="preserve">     Enter the total number of pounds per bird to reach market weight:</v>
      </c>
      <c r="C39" s="329"/>
      <c r="D39" s="329"/>
      <c r="E39" s="329"/>
      <c r="F39" s="330"/>
      <c r="G39" s="290">
        <v>18.5</v>
      </c>
      <c r="H39" s="248">
        <f>IF(G9='Drop Down Lists'!B4, 'Feed Intake'!F54, IF(G9='Drop Down Lists'!B5,'Feed Intake'!F55,IF(G9='Drop Down Lists'!B6,'Feed Intake'!F56,IF(G9='Drop Down Lists'!B7,'Feed Intake'!F57,'Feed Intake'!F58))))</f>
        <v>17.032771236676624</v>
      </c>
      <c r="I39" s="34"/>
      <c r="J39" s="36" t="s">
        <v>611</v>
      </c>
    </row>
    <row r="40" spans="2:12" ht="12.75" customHeight="1" x14ac:dyDescent="0.25">
      <c r="B40" s="328" t="str">
        <f>IF(G34='Drop Down Lists'!B36,"     Total bags of feed consumed per batch:","     Total tons of feed consumed per batch:")</f>
        <v xml:space="preserve">     Total bags of feed consumed per batch:</v>
      </c>
      <c r="C40" s="329"/>
      <c r="D40" s="329"/>
      <c r="E40" s="329"/>
      <c r="F40" s="330"/>
      <c r="G40" s="221">
        <f>IF(G34='Drop Down Lists'!B36,B118/G36,B118/2000)</f>
        <v>81.284374999999997</v>
      </c>
      <c r="H40" s="116" t="str">
        <f>IF(G34='Drop Down Lists'!B36,"bags/batch","tons/batch")</f>
        <v>bags/batch</v>
      </c>
      <c r="J40" s="282"/>
    </row>
    <row r="41" spans="2:12" ht="12.75" customHeight="1" x14ac:dyDescent="0.25">
      <c r="B41" s="328" t="str">
        <f>IF(G34='Drop Down Lists'!B36,"     Total bags of feed consumed per year:","     Total tons of feed consumed per year:")</f>
        <v xml:space="preserve">     Total bags of feed consumed per year:</v>
      </c>
      <c r="C41" s="329"/>
      <c r="D41" s="329"/>
      <c r="E41" s="329"/>
      <c r="F41" s="330"/>
      <c r="G41" s="221">
        <f>IF(G34='Drop Down Lists'!B36,B119/G36,B119/2000)</f>
        <v>325.13749999999999</v>
      </c>
      <c r="H41" s="116" t="str">
        <f>IF(G34='Drop Down Lists'!B36,"bags/year","tons/year")</f>
        <v>bags/year</v>
      </c>
      <c r="J41" s="282"/>
    </row>
    <row r="42" spans="2:12" ht="4.5" customHeight="1" x14ac:dyDescent="0.25">
      <c r="B42" s="331"/>
      <c r="C42" s="332"/>
      <c r="D42" s="332"/>
      <c r="E42" s="332"/>
      <c r="F42" s="332"/>
      <c r="G42" s="332"/>
      <c r="H42" s="333"/>
      <c r="I42" s="34"/>
      <c r="J42" s="36"/>
    </row>
    <row r="43" spans="2:12" ht="12.75" customHeight="1" x14ac:dyDescent="0.25">
      <c r="B43" s="328" t="s">
        <v>586</v>
      </c>
      <c r="C43" s="329"/>
      <c r="D43" s="329"/>
      <c r="E43" s="329"/>
      <c r="F43" s="330"/>
      <c r="G43" s="299">
        <v>150</v>
      </c>
      <c r="H43" s="249"/>
      <c r="I43" s="42"/>
      <c r="J43" s="36" t="s">
        <v>438</v>
      </c>
      <c r="K43" s="43"/>
      <c r="L43" s="44"/>
    </row>
    <row r="44" spans="2:12" ht="4.5" customHeight="1" x14ac:dyDescent="0.25">
      <c r="B44" s="331"/>
      <c r="C44" s="332"/>
      <c r="D44" s="332"/>
      <c r="E44" s="332"/>
      <c r="F44" s="332"/>
      <c r="G44" s="332"/>
      <c r="H44" s="333"/>
      <c r="I44" s="42"/>
      <c r="J44" s="36"/>
      <c r="K44" s="43"/>
      <c r="L44" s="44"/>
    </row>
    <row r="45" spans="2:12" ht="12.75" customHeight="1" x14ac:dyDescent="0.25">
      <c r="B45" s="327" t="s">
        <v>272</v>
      </c>
      <c r="C45" s="327"/>
      <c r="D45" s="327"/>
      <c r="E45" s="327"/>
      <c r="F45" s="327"/>
      <c r="G45" s="323" t="s">
        <v>22</v>
      </c>
      <c r="H45" s="323"/>
      <c r="I45" s="34"/>
      <c r="J45" s="36"/>
    </row>
    <row r="46" spans="2:12" ht="4.5" customHeight="1" x14ac:dyDescent="0.25">
      <c r="B46" s="324"/>
      <c r="C46" s="324"/>
      <c r="D46" s="324"/>
      <c r="E46" s="324"/>
      <c r="F46" s="324"/>
      <c r="G46" s="324"/>
      <c r="H46" s="324"/>
      <c r="J46" s="36"/>
    </row>
    <row r="47" spans="2:12" ht="12.75" customHeight="1" x14ac:dyDescent="0.25">
      <c r="B47" s="327" t="s">
        <v>273</v>
      </c>
      <c r="C47" s="327"/>
      <c r="D47" s="327"/>
      <c r="E47" s="327"/>
      <c r="F47" s="327"/>
      <c r="G47" s="323" t="s">
        <v>293</v>
      </c>
      <c r="H47" s="323"/>
      <c r="I47" s="34"/>
      <c r="J47" s="36" t="s">
        <v>323</v>
      </c>
    </row>
    <row r="48" spans="2:12" ht="12.75" customHeight="1" x14ac:dyDescent="0.25">
      <c r="B48" s="327" t="str">
        <f>IF(G47='Drop Down Lists'!B11,"     Based on management style, experience, &amp; breed, the mortality rate is:","     Enter the mortality rate in the brooder:")</f>
        <v xml:space="preserve">     Based on management style, experience, &amp; breed, the mortality rate is:</v>
      </c>
      <c r="C48" s="327"/>
      <c r="D48" s="327"/>
      <c r="E48" s="327"/>
      <c r="F48" s="327"/>
      <c r="G48" s="300">
        <v>0.1</v>
      </c>
      <c r="H48" s="250">
        <f>IF(G9='Drop Down Lists'!B4,B127,B130)</f>
        <v>0.05</v>
      </c>
      <c r="I48" s="37"/>
      <c r="J48" s="36" t="s">
        <v>206</v>
      </c>
    </row>
    <row r="49" spans="2:10" ht="12.75" customHeight="1" x14ac:dyDescent="0.25">
      <c r="B49" s="328" t="s">
        <v>579</v>
      </c>
      <c r="C49" s="329"/>
      <c r="D49" s="329"/>
      <c r="E49" s="329"/>
      <c r="F49" s="330"/>
      <c r="G49" s="257">
        <f>IF(G47='Drop Down Lists'!B11,G4*H48,G4*G48)</f>
        <v>12.5</v>
      </c>
      <c r="H49" s="250"/>
      <c r="I49" s="37"/>
      <c r="J49" s="36"/>
    </row>
    <row r="50" spans="2:10" ht="4.5" customHeight="1" x14ac:dyDescent="0.25">
      <c r="B50" s="331"/>
      <c r="C50" s="332"/>
      <c r="D50" s="332"/>
      <c r="E50" s="332"/>
      <c r="F50" s="332"/>
      <c r="G50" s="332"/>
      <c r="H50" s="333"/>
      <c r="I50" s="37"/>
      <c r="J50" s="36"/>
    </row>
    <row r="51" spans="2:10" ht="12.75" customHeight="1" x14ac:dyDescent="0.25">
      <c r="B51" s="327" t="s">
        <v>274</v>
      </c>
      <c r="C51" s="327"/>
      <c r="D51" s="327"/>
      <c r="E51" s="327"/>
      <c r="F51" s="327"/>
      <c r="G51" s="361" t="s">
        <v>293</v>
      </c>
      <c r="H51" s="361"/>
      <c r="I51" s="38"/>
      <c r="J51" s="36" t="s">
        <v>225</v>
      </c>
    </row>
    <row r="52" spans="2:10" ht="12.75" customHeight="1" x14ac:dyDescent="0.25">
      <c r="B52" s="327" t="str">
        <f>IF(G51='Drop Down Lists'!B11,"     Based on management style, experience, &amp; breed, the mortality rate is:","     Enter the mortality rate in the field:")</f>
        <v xml:space="preserve">     Based on management style, experience, &amp; breed, the mortality rate is:</v>
      </c>
      <c r="C52" s="327"/>
      <c r="D52" s="327"/>
      <c r="E52" s="327"/>
      <c r="F52" s="327"/>
      <c r="G52" s="300">
        <v>0.05</v>
      </c>
      <c r="H52" s="250">
        <f>IF(G23='Drop Down Lists'!B20,D127,D130)</f>
        <v>7.4999999999999997E-2</v>
      </c>
      <c r="I52" s="37"/>
      <c r="J52" s="36" t="s">
        <v>185</v>
      </c>
    </row>
    <row r="53" spans="2:10" ht="12.75" customHeight="1" x14ac:dyDescent="0.25">
      <c r="B53" s="328" t="s">
        <v>437</v>
      </c>
      <c r="C53" s="329"/>
      <c r="D53" s="329"/>
      <c r="E53" s="329"/>
      <c r="F53" s="330"/>
      <c r="G53" s="257">
        <f>IF(G51='Drop Down Lists'!B11,(G4-G49)*H52,(G4-G49)*G52)</f>
        <v>17.8125</v>
      </c>
      <c r="H53" s="254"/>
      <c r="I53" s="37"/>
      <c r="J53" s="36"/>
    </row>
    <row r="54" spans="2:10" ht="4.5" customHeight="1" x14ac:dyDescent="0.25">
      <c r="B54" s="328"/>
      <c r="C54" s="329"/>
      <c r="D54" s="329"/>
      <c r="E54" s="329"/>
      <c r="F54" s="330"/>
      <c r="G54" s="257"/>
      <c r="H54" s="254"/>
      <c r="I54" s="37"/>
      <c r="J54" s="36"/>
    </row>
    <row r="55" spans="2:10" ht="12.75" customHeight="1" x14ac:dyDescent="0.25">
      <c r="B55" s="328" t="s">
        <v>445</v>
      </c>
      <c r="C55" s="329"/>
      <c r="D55" s="329"/>
      <c r="E55" s="329"/>
      <c r="F55" s="330"/>
      <c r="G55" s="250">
        <f>(G53+G49)/G4</f>
        <v>0.12125</v>
      </c>
      <c r="H55" s="254"/>
      <c r="I55" s="37"/>
      <c r="J55" s="36" t="s">
        <v>443</v>
      </c>
    </row>
    <row r="56" spans="2:10" ht="12.75" customHeight="1" x14ac:dyDescent="0.25">
      <c r="B56" s="328" t="s">
        <v>446</v>
      </c>
      <c r="C56" s="329"/>
      <c r="D56" s="329"/>
      <c r="E56" s="329"/>
      <c r="F56" s="330"/>
      <c r="G56" s="257">
        <f>G49+G53</f>
        <v>30.3125</v>
      </c>
      <c r="H56" s="254"/>
      <c r="I56" s="37"/>
      <c r="J56" s="36" t="s">
        <v>444</v>
      </c>
    </row>
    <row r="57" spans="2:10" ht="12.75" customHeight="1" x14ac:dyDescent="0.25">
      <c r="B57" s="328" t="s">
        <v>447</v>
      </c>
      <c r="C57" s="329"/>
      <c r="D57" s="329"/>
      <c r="E57" s="329"/>
      <c r="F57" s="330"/>
      <c r="G57" s="279">
        <f>G4-G56</f>
        <v>219.6875</v>
      </c>
      <c r="H57" s="250"/>
      <c r="I57" s="37"/>
      <c r="J57" s="36" t="s">
        <v>440</v>
      </c>
    </row>
    <row r="58" spans="2:10" ht="4.5" customHeight="1" x14ac:dyDescent="0.25">
      <c r="B58" s="324"/>
      <c r="C58" s="324"/>
      <c r="D58" s="324"/>
      <c r="E58" s="324"/>
      <c r="F58" s="324"/>
      <c r="G58" s="324"/>
      <c r="H58" s="324"/>
      <c r="I58" s="37"/>
      <c r="J58" s="36"/>
    </row>
    <row r="59" spans="2:10" ht="12.75" customHeight="1" x14ac:dyDescent="0.25">
      <c r="B59" s="327" t="s">
        <v>276</v>
      </c>
      <c r="C59" s="327"/>
      <c r="D59" s="327"/>
      <c r="E59" s="327"/>
      <c r="F59" s="327"/>
      <c r="G59" s="323" t="s">
        <v>14</v>
      </c>
      <c r="H59" s="323"/>
      <c r="I59" s="34"/>
      <c r="J59" s="36"/>
    </row>
    <row r="60" spans="2:10" ht="12.75" customHeight="1" x14ac:dyDescent="0.25">
      <c r="B60" s="327" t="str">
        <f>"     If you answered "&amp;'Drop Down Lists'!B42&amp;", please enter an hourly wage:"</f>
        <v xml:space="preserve">     If you answered Yes, please enter an hourly wage:</v>
      </c>
      <c r="C60" s="327"/>
      <c r="D60" s="327"/>
      <c r="E60" s="327"/>
      <c r="F60" s="327"/>
      <c r="G60" s="297">
        <v>10</v>
      </c>
      <c r="H60" s="116"/>
      <c r="J60" s="36"/>
    </row>
    <row r="61" spans="2:10" ht="12.75" customHeight="1" x14ac:dyDescent="0.25">
      <c r="B61" s="327" t="s">
        <v>304</v>
      </c>
      <c r="C61" s="327"/>
      <c r="D61" s="327"/>
      <c r="E61" s="327"/>
      <c r="F61" s="327"/>
      <c r="G61" s="301">
        <v>20</v>
      </c>
      <c r="H61" s="116" t="s">
        <v>298</v>
      </c>
      <c r="J61" s="36"/>
    </row>
    <row r="62" spans="2:10" ht="12.75" customHeight="1" x14ac:dyDescent="0.25">
      <c r="B62" s="327" t="s">
        <v>346</v>
      </c>
      <c r="C62" s="327"/>
      <c r="D62" s="327"/>
      <c r="E62" s="327"/>
      <c r="F62" s="327"/>
      <c r="G62" s="302">
        <v>50</v>
      </c>
      <c r="H62" s="116" t="s">
        <v>347</v>
      </c>
      <c r="J62" s="36" t="s">
        <v>380</v>
      </c>
    </row>
    <row r="63" spans="2:10" ht="12.75" customHeight="1" x14ac:dyDescent="0.25">
      <c r="B63" s="328" t="s">
        <v>379</v>
      </c>
      <c r="C63" s="329"/>
      <c r="D63" s="329"/>
      <c r="E63" s="329"/>
      <c r="F63" s="330"/>
      <c r="G63" s="209">
        <f>G62/G5</f>
        <v>12.5</v>
      </c>
      <c r="H63" s="116" t="s">
        <v>299</v>
      </c>
      <c r="J63" s="36"/>
    </row>
    <row r="64" spans="2:10" ht="4.5" customHeight="1" x14ac:dyDescent="0.25">
      <c r="B64" s="324"/>
      <c r="C64" s="324"/>
      <c r="D64" s="324"/>
      <c r="E64" s="324"/>
      <c r="F64" s="324"/>
      <c r="G64" s="324"/>
      <c r="H64" s="324"/>
      <c r="J64" s="36"/>
    </row>
    <row r="65" spans="2:14" ht="12.75" customHeight="1" x14ac:dyDescent="0.25">
      <c r="B65" s="327" t="s">
        <v>277</v>
      </c>
      <c r="C65" s="327"/>
      <c r="D65" s="327"/>
      <c r="E65" s="327"/>
      <c r="F65" s="327"/>
      <c r="G65" s="339" t="s">
        <v>137</v>
      </c>
      <c r="H65" s="339"/>
      <c r="I65" s="45"/>
      <c r="J65" s="36"/>
    </row>
    <row r="66" spans="2:14" ht="12.75" customHeight="1" x14ac:dyDescent="0.25"/>
    <row r="67" spans="2:14" ht="12.75" customHeight="1" x14ac:dyDescent="0.25">
      <c r="B67" s="55"/>
      <c r="C67" s="55"/>
      <c r="D67" s="55"/>
      <c r="E67" s="55"/>
      <c r="F67" s="55"/>
      <c r="G67" s="55"/>
      <c r="H67" s="55"/>
    </row>
    <row r="68" spans="2:14" ht="12.75" customHeight="1" x14ac:dyDescent="0.25">
      <c r="B68" s="175"/>
      <c r="C68" s="175"/>
      <c r="D68" s="175"/>
      <c r="E68" s="175"/>
      <c r="F68" s="43"/>
    </row>
    <row r="69" spans="2:14" ht="12.75" customHeight="1" x14ac:dyDescent="0.25">
      <c r="B69" s="338" t="s">
        <v>256</v>
      </c>
      <c r="C69" s="338"/>
      <c r="D69" s="338"/>
      <c r="E69" s="338"/>
      <c r="F69" s="338"/>
      <c r="G69" s="338"/>
      <c r="H69" s="338"/>
      <c r="I69" s="338"/>
      <c r="J69" s="338"/>
      <c r="K69" s="338"/>
      <c r="L69" s="338"/>
      <c r="M69" s="338"/>
    </row>
    <row r="70" spans="2:14" ht="48" x14ac:dyDescent="0.25">
      <c r="B70" s="181" t="s">
        <v>7</v>
      </c>
      <c r="C70" s="172" t="s">
        <v>90</v>
      </c>
      <c r="D70" s="172" t="s">
        <v>9</v>
      </c>
      <c r="E70" s="172" t="s">
        <v>343</v>
      </c>
      <c r="F70" s="280" t="s">
        <v>587</v>
      </c>
      <c r="G70" s="280" t="s">
        <v>588</v>
      </c>
      <c r="H70" s="172" t="s">
        <v>205</v>
      </c>
      <c r="I70" s="343" t="s">
        <v>11</v>
      </c>
      <c r="J70" s="343"/>
      <c r="K70" s="172" t="s">
        <v>91</v>
      </c>
      <c r="L70" s="280" t="s">
        <v>589</v>
      </c>
      <c r="M70" s="280" t="s">
        <v>590</v>
      </c>
    </row>
    <row r="71" spans="2:14" ht="12.75" customHeight="1" x14ac:dyDescent="0.25">
      <c r="B71" s="46" t="s">
        <v>8</v>
      </c>
      <c r="C71" s="47">
        <v>1.5</v>
      </c>
      <c r="D71" s="48">
        <v>53</v>
      </c>
      <c r="E71" s="49">
        <f>D71/7</f>
        <v>7.5714285714285712</v>
      </c>
      <c r="F71" s="49">
        <f>'Feed Intake'!E45</f>
        <v>12.640275500316605</v>
      </c>
      <c r="G71" s="49">
        <f>'Feed Intake'!F45</f>
        <v>12.166265169054732</v>
      </c>
      <c r="H71" s="49">
        <v>5.5</v>
      </c>
      <c r="I71" s="342">
        <v>0.75</v>
      </c>
      <c r="J71" s="342"/>
      <c r="K71" s="275">
        <f>H71*I71</f>
        <v>4.125</v>
      </c>
      <c r="L71" s="275">
        <f>F71/H71</f>
        <v>2.2982319091484738</v>
      </c>
      <c r="M71" s="275">
        <f>G71/H71</f>
        <v>2.212048212555406</v>
      </c>
      <c r="N71" s="208"/>
    </row>
    <row r="72" spans="2:14" ht="12.75" customHeight="1" x14ac:dyDescent="0.25">
      <c r="B72" s="46" t="s">
        <v>10</v>
      </c>
      <c r="C72" s="47">
        <v>1.1499999999999999</v>
      </c>
      <c r="D72" s="48">
        <v>70</v>
      </c>
      <c r="E72" s="48">
        <f t="shared" ref="E72:E75" si="0">D72/7</f>
        <v>10</v>
      </c>
      <c r="F72" s="49">
        <f>'Feed Intake'!E46</f>
        <v>17.696385700443244</v>
      </c>
      <c r="G72" s="49">
        <f>'Feed Intake'!F46</f>
        <v>17.032771236676624</v>
      </c>
      <c r="H72" s="49">
        <v>5.5</v>
      </c>
      <c r="I72" s="342">
        <v>0.7</v>
      </c>
      <c r="J72" s="342"/>
      <c r="K72" s="275">
        <f>H72*I72</f>
        <v>3.8499999999999996</v>
      </c>
      <c r="L72" s="275">
        <f>F72/H72</f>
        <v>3.2175246728078624</v>
      </c>
      <c r="M72" s="275">
        <f t="shared" ref="M72:M75" si="1">G72/H72</f>
        <v>3.0968674975775681</v>
      </c>
      <c r="N72" s="208"/>
    </row>
    <row r="73" spans="2:14" ht="12.75" customHeight="1" x14ac:dyDescent="0.25">
      <c r="B73" s="46" t="s">
        <v>160</v>
      </c>
      <c r="C73" s="47">
        <v>2.1</v>
      </c>
      <c r="D73" s="48">
        <v>84</v>
      </c>
      <c r="E73" s="48">
        <f t="shared" si="0"/>
        <v>12</v>
      </c>
      <c r="F73" s="49">
        <f>'Feed Intake'!E47</f>
        <v>15.574530886467915</v>
      </c>
      <c r="G73" s="49">
        <f>'Feed Intake'!F47</f>
        <v>14.990485978225369</v>
      </c>
      <c r="H73" s="49">
        <v>4.5</v>
      </c>
      <c r="I73" s="342">
        <v>0.68</v>
      </c>
      <c r="J73" s="342"/>
      <c r="K73" s="275">
        <f>H73*I73</f>
        <v>3.06</v>
      </c>
      <c r="L73" s="275">
        <f>F73/H73</f>
        <v>3.4610068636595366</v>
      </c>
      <c r="M73" s="275">
        <f t="shared" si="1"/>
        <v>3.3312191062723042</v>
      </c>
      <c r="N73" s="208"/>
    </row>
    <row r="74" spans="2:14" ht="12.75" customHeight="1" x14ac:dyDescent="0.25">
      <c r="B74" s="46" t="s">
        <v>263</v>
      </c>
      <c r="C74" s="47">
        <v>2.1</v>
      </c>
      <c r="D74" s="48">
        <v>98</v>
      </c>
      <c r="E74" s="48">
        <f t="shared" si="0"/>
        <v>14</v>
      </c>
      <c r="F74" s="49">
        <f>'Feed Intake'!E48</f>
        <v>19.468163608084893</v>
      </c>
      <c r="G74" s="49">
        <f>'Feed Intake'!F48</f>
        <v>18.73810747278171</v>
      </c>
      <c r="H74" s="49">
        <v>4.5</v>
      </c>
      <c r="I74" s="351">
        <v>0.68</v>
      </c>
      <c r="J74" s="351"/>
      <c r="K74" s="275">
        <f>H74*I74</f>
        <v>3.06</v>
      </c>
      <c r="L74" s="275">
        <f>F74/H74</f>
        <v>4.3262585795744206</v>
      </c>
      <c r="M74" s="275">
        <f t="shared" si="1"/>
        <v>4.1640238828403797</v>
      </c>
      <c r="N74" s="208"/>
    </row>
    <row r="75" spans="2:14" ht="12.75" customHeight="1" x14ac:dyDescent="0.25">
      <c r="B75" s="46" t="s">
        <v>261</v>
      </c>
      <c r="C75" s="47">
        <v>2.1</v>
      </c>
      <c r="D75" s="173">
        <v>126</v>
      </c>
      <c r="E75" s="48">
        <f t="shared" si="0"/>
        <v>18</v>
      </c>
      <c r="F75" s="49">
        <f>'Feed Intake'!E49</f>
        <v>23.361796329701871</v>
      </c>
      <c r="G75" s="49">
        <f>'Feed Intake'!F49</f>
        <v>22.485728967338051</v>
      </c>
      <c r="H75" s="49">
        <v>4.5</v>
      </c>
      <c r="I75" s="350">
        <v>0.68</v>
      </c>
      <c r="J75" s="350"/>
      <c r="K75" s="275">
        <f>H75*I75</f>
        <v>3.06</v>
      </c>
      <c r="L75" s="275">
        <f>F75/H75</f>
        <v>5.1915102954893051</v>
      </c>
      <c r="M75" s="275">
        <f t="shared" si="1"/>
        <v>4.9968286594084557</v>
      </c>
      <c r="N75" s="208"/>
    </row>
    <row r="76" spans="2:14" ht="12.75" customHeight="1" x14ac:dyDescent="0.25">
      <c r="B76" s="46" t="str">
        <f>"Other ("&amp;'Production Data'!G10&amp;" weeks)"</f>
        <v>Other (13 weeks)</v>
      </c>
      <c r="C76" s="47">
        <f>G30</f>
        <v>1.5</v>
      </c>
      <c r="D76" s="173">
        <f>E76*7</f>
        <v>91</v>
      </c>
      <c r="E76" s="48">
        <f>G10</f>
        <v>13</v>
      </c>
      <c r="F76" s="116"/>
      <c r="G76" s="49">
        <f>G39</f>
        <v>18.5</v>
      </c>
      <c r="H76" s="49">
        <f>G12</f>
        <v>5.5</v>
      </c>
      <c r="I76" s="350">
        <f>H14</f>
        <v>0.72</v>
      </c>
      <c r="J76" s="350"/>
      <c r="K76" s="275">
        <f>G15</f>
        <v>3.96</v>
      </c>
      <c r="M76" s="275">
        <f>G76/H76</f>
        <v>3.3636363636363638</v>
      </c>
      <c r="N76" s="208"/>
    </row>
    <row r="77" spans="2:14" ht="12.75" customHeight="1" x14ac:dyDescent="0.25">
      <c r="B77" s="348"/>
      <c r="C77" s="348"/>
      <c r="D77" s="348"/>
      <c r="E77" s="348"/>
      <c r="F77" s="348"/>
      <c r="G77" s="348"/>
      <c r="H77" s="348"/>
      <c r="I77" s="348"/>
      <c r="J77" s="348"/>
      <c r="K77" s="348"/>
      <c r="L77" s="348"/>
      <c r="M77" s="348"/>
    </row>
    <row r="78" spans="2:14" ht="12.75" customHeight="1" x14ac:dyDescent="0.25">
      <c r="B78" s="39"/>
      <c r="C78" s="52"/>
      <c r="D78" s="53"/>
      <c r="E78" s="54"/>
      <c r="F78" s="53"/>
      <c r="G78" s="55"/>
      <c r="H78" s="55"/>
      <c r="I78" s="53"/>
      <c r="J78" s="50"/>
      <c r="K78" s="51"/>
    </row>
    <row r="79" spans="2:14" ht="12.75" customHeight="1" x14ac:dyDescent="0.25"/>
    <row r="80" spans="2:14" ht="12.75" customHeight="1" x14ac:dyDescent="0.25">
      <c r="B80" s="349" t="s">
        <v>257</v>
      </c>
      <c r="C80" s="349"/>
      <c r="D80" s="349"/>
      <c r="E80" s="349"/>
      <c r="F80" s="56"/>
      <c r="G80" s="56"/>
      <c r="H80" s="56"/>
    </row>
    <row r="81" spans="2:9" ht="12.75" customHeight="1" x14ac:dyDescent="0.25">
      <c r="B81" s="57"/>
      <c r="C81" s="179" t="s">
        <v>21</v>
      </c>
      <c r="D81" s="179" t="s">
        <v>22</v>
      </c>
      <c r="E81" s="179" t="s">
        <v>23</v>
      </c>
    </row>
    <row r="82" spans="2:9" ht="12.75" customHeight="1" x14ac:dyDescent="0.25">
      <c r="B82" s="58" t="s">
        <v>259</v>
      </c>
      <c r="C82" s="59">
        <v>0.15</v>
      </c>
      <c r="D82" s="59">
        <v>0.1</v>
      </c>
      <c r="E82" s="59">
        <v>0.05</v>
      </c>
    </row>
    <row r="83" spans="2:9" ht="12.75" customHeight="1" x14ac:dyDescent="0.25">
      <c r="B83" s="60" t="s">
        <v>25</v>
      </c>
      <c r="C83" s="61">
        <v>0.1</v>
      </c>
      <c r="D83" s="61">
        <v>0.05</v>
      </c>
      <c r="E83" s="61">
        <v>2.5000000000000001E-2</v>
      </c>
    </row>
    <row r="84" spans="2:9" ht="12.75" customHeight="1" x14ac:dyDescent="0.25">
      <c r="B84" s="348"/>
      <c r="C84" s="348"/>
      <c r="D84" s="348"/>
      <c r="E84" s="348"/>
      <c r="F84" s="62"/>
      <c r="G84" s="62"/>
      <c r="H84" s="62"/>
    </row>
    <row r="85" spans="2:9" ht="12.75" customHeight="1" x14ac:dyDescent="0.25">
      <c r="B85" s="39"/>
      <c r="C85" s="63"/>
      <c r="D85" s="63"/>
      <c r="E85" s="63"/>
      <c r="F85" s="63"/>
      <c r="G85" s="63"/>
      <c r="H85" s="64"/>
    </row>
    <row r="86" spans="2:9" ht="12.75" customHeight="1" x14ac:dyDescent="0.25"/>
    <row r="87" spans="2:9" ht="12.75" customHeight="1" x14ac:dyDescent="0.25">
      <c r="B87" s="345" t="s">
        <v>258</v>
      </c>
      <c r="C87" s="346"/>
      <c r="D87" s="346"/>
      <c r="E87" s="346"/>
      <c r="F87" s="346"/>
      <c r="G87" s="346"/>
      <c r="H87" s="347"/>
    </row>
    <row r="88" spans="2:9" ht="12.75" customHeight="1" x14ac:dyDescent="0.25">
      <c r="B88" s="57"/>
      <c r="C88" s="357" t="s">
        <v>21</v>
      </c>
      <c r="D88" s="358"/>
      <c r="E88" s="357" t="s">
        <v>22</v>
      </c>
      <c r="F88" s="358"/>
      <c r="G88" s="359" t="s">
        <v>23</v>
      </c>
      <c r="H88" s="360"/>
    </row>
    <row r="89" spans="2:9" ht="12.75" customHeight="1" x14ac:dyDescent="0.25">
      <c r="B89" s="57"/>
      <c r="C89" s="178" t="s">
        <v>8</v>
      </c>
      <c r="D89" s="179" t="s">
        <v>25</v>
      </c>
      <c r="E89" s="178" t="s">
        <v>8</v>
      </c>
      <c r="F89" s="179" t="s">
        <v>25</v>
      </c>
      <c r="G89" s="178" t="s">
        <v>8</v>
      </c>
      <c r="H89" s="179" t="s">
        <v>25</v>
      </c>
    </row>
    <row r="90" spans="2:9" ht="12.75" customHeight="1" x14ac:dyDescent="0.25">
      <c r="B90" s="58" t="s">
        <v>112</v>
      </c>
      <c r="C90" s="65">
        <v>0.125</v>
      </c>
      <c r="D90" s="59">
        <v>0.1</v>
      </c>
      <c r="E90" s="65">
        <v>7.4999999999999997E-2</v>
      </c>
      <c r="F90" s="59">
        <v>0.05</v>
      </c>
      <c r="G90" s="65">
        <v>0.05</v>
      </c>
      <c r="H90" s="59">
        <v>2.5000000000000001E-2</v>
      </c>
    </row>
    <row r="91" spans="2:9" ht="12.75" customHeight="1" x14ac:dyDescent="0.25">
      <c r="B91" s="60" t="s">
        <v>113</v>
      </c>
      <c r="C91" s="66">
        <v>0.15</v>
      </c>
      <c r="D91" s="61">
        <v>0.125</v>
      </c>
      <c r="E91" s="66">
        <v>0.1</v>
      </c>
      <c r="F91" s="61">
        <v>7.4999999999999997E-2</v>
      </c>
      <c r="G91" s="66">
        <v>7.4999999999999997E-2</v>
      </c>
      <c r="H91" s="61">
        <v>0.05</v>
      </c>
      <c r="I91" s="106"/>
    </row>
    <row r="92" spans="2:9" ht="12.75" customHeight="1" x14ac:dyDescent="0.25">
      <c r="B92" s="67"/>
      <c r="C92" s="68"/>
      <c r="D92" s="68"/>
      <c r="E92" s="68"/>
      <c r="F92" s="68"/>
      <c r="G92" s="68"/>
      <c r="H92" s="69"/>
    </row>
    <row r="93" spans="2:9" ht="12.75" customHeight="1" x14ac:dyDescent="0.25"/>
    <row r="94" spans="2:9" ht="12.75" customHeight="1" x14ac:dyDescent="0.25">
      <c r="B94" s="39"/>
      <c r="C94" s="55"/>
      <c r="D94" s="55"/>
      <c r="E94" s="55"/>
      <c r="F94" s="55"/>
      <c r="G94" s="55"/>
      <c r="H94" s="55"/>
    </row>
    <row r="95" spans="2:9" ht="12.75" customHeight="1" x14ac:dyDescent="0.25">
      <c r="B95" s="55"/>
      <c r="C95" s="55"/>
      <c r="D95" s="55"/>
      <c r="E95" s="55"/>
      <c r="F95" s="55"/>
      <c r="G95" s="55"/>
      <c r="H95" s="55"/>
    </row>
    <row r="96" spans="2:9" ht="12.75" customHeight="1" x14ac:dyDescent="0.25"/>
    <row r="97" spans="2:8" ht="12.75" customHeight="1" x14ac:dyDescent="0.25">
      <c r="C97" s="106"/>
      <c r="D97" s="106"/>
      <c r="E97" s="106"/>
      <c r="F97" s="106"/>
      <c r="G97" s="106"/>
      <c r="H97" s="106"/>
    </row>
    <row r="98" spans="2:8" ht="12.75" customHeight="1" x14ac:dyDescent="0.25">
      <c r="B98" s="70"/>
      <c r="C98" s="71"/>
      <c r="D98" s="72"/>
    </row>
    <row r="99" spans="2:8" ht="12.75" customHeight="1" x14ac:dyDescent="0.25">
      <c r="B99" s="70"/>
      <c r="C99" s="55"/>
      <c r="D99" s="55"/>
    </row>
    <row r="100" spans="2:8" ht="12.75" customHeight="1" x14ac:dyDescent="0.25">
      <c r="B100" s="70"/>
      <c r="C100" s="55"/>
      <c r="D100" s="102"/>
      <c r="E100" s="115"/>
    </row>
    <row r="101" spans="2:8" ht="12.75" customHeight="1" x14ac:dyDescent="0.25">
      <c r="B101" s="70"/>
      <c r="C101" s="55"/>
      <c r="D101" s="102"/>
      <c r="E101" s="115"/>
    </row>
    <row r="102" spans="2:8" ht="12.75" customHeight="1" x14ac:dyDescent="0.25">
      <c r="B102" s="70"/>
      <c r="C102" s="55"/>
      <c r="D102" s="102"/>
      <c r="E102" s="115"/>
    </row>
    <row r="103" spans="2:8" ht="12.75" customHeight="1" x14ac:dyDescent="0.25">
      <c r="C103" s="55"/>
      <c r="D103" s="102"/>
      <c r="E103" s="115"/>
    </row>
    <row r="104" spans="2:8" ht="12.75" customHeight="1" x14ac:dyDescent="0.25">
      <c r="B104" s="70"/>
      <c r="C104" s="55"/>
      <c r="D104" s="102"/>
      <c r="E104" s="115"/>
      <c r="H104" s="73"/>
    </row>
    <row r="105" spans="2:8" ht="12.75" customHeight="1" x14ac:dyDescent="0.25">
      <c r="B105" s="70"/>
      <c r="C105" s="55"/>
      <c r="D105" s="102"/>
      <c r="H105" s="73"/>
    </row>
    <row r="106" spans="2:8" ht="12.75" customHeight="1" x14ac:dyDescent="0.25">
      <c r="C106" s="55"/>
      <c r="D106" s="102"/>
    </row>
    <row r="107" spans="2:8" ht="12.75" customHeight="1" x14ac:dyDescent="0.25">
      <c r="B107" s="70"/>
      <c r="E107" s="39"/>
      <c r="F107" s="39"/>
    </row>
    <row r="108" spans="2:8" ht="12.75" customHeight="1" x14ac:dyDescent="0.25"/>
    <row r="109" spans="2:8" ht="12.75" customHeight="1" x14ac:dyDescent="0.25"/>
    <row r="110" spans="2:8" ht="12.75" customHeight="1" x14ac:dyDescent="0.25">
      <c r="B110" s="74"/>
      <c r="C110" s="75"/>
      <c r="D110" s="74"/>
      <c r="E110" s="74"/>
      <c r="F110" s="74"/>
    </row>
    <row r="111" spans="2:8" ht="12.75" customHeight="1" x14ac:dyDescent="0.25">
      <c r="B111" s="76"/>
      <c r="C111" s="74"/>
      <c r="D111" s="74"/>
      <c r="E111" s="74"/>
      <c r="F111" s="74"/>
    </row>
    <row r="112" spans="2:8" ht="12.75" customHeight="1" x14ac:dyDescent="0.25">
      <c r="B112" s="77"/>
      <c r="C112" s="74"/>
      <c r="D112" s="74"/>
      <c r="E112" s="74"/>
      <c r="F112" s="74"/>
    </row>
    <row r="113" spans="2:6" ht="12.75" customHeight="1" x14ac:dyDescent="0.25">
      <c r="B113" s="74"/>
      <c r="C113" s="78"/>
      <c r="D113" s="74"/>
      <c r="E113" s="74"/>
      <c r="F113" s="74"/>
    </row>
    <row r="114" spans="2:6" ht="12.75" customHeight="1" x14ac:dyDescent="0.25"/>
    <row r="115" spans="2:6" ht="14.25" customHeight="1" x14ac:dyDescent="0.25"/>
    <row r="116" spans="2:6" hidden="1" x14ac:dyDescent="0.25"/>
    <row r="117" spans="2:6" hidden="1" x14ac:dyDescent="0.25">
      <c r="B117" s="30" t="s">
        <v>629</v>
      </c>
    </row>
    <row r="118" spans="2:6" hidden="1" x14ac:dyDescent="0.25">
      <c r="B118" s="281">
        <f>IF(G9='Drop Down Lists'!B9,G39*Processing!E5,IF(G38='Drop Down Lists'!B15,H39*Processing!E5,G39*Processing!E5))</f>
        <v>4064.21875</v>
      </c>
      <c r="C118" s="30" t="s">
        <v>626</v>
      </c>
      <c r="E118" s="30" t="s">
        <v>628</v>
      </c>
    </row>
    <row r="119" spans="2:6" hidden="1" x14ac:dyDescent="0.25">
      <c r="B119" s="281">
        <f>IF(G9='Drop Down Lists'!B9,G39*G7,IF(G38='Drop Down Lists'!B15,H39*G7,G39*G7))</f>
        <v>16256.875</v>
      </c>
      <c r="C119" s="30" t="s">
        <v>627</v>
      </c>
    </row>
    <row r="120" spans="2:6" hidden="1" x14ac:dyDescent="0.25"/>
    <row r="121" spans="2:6" hidden="1" x14ac:dyDescent="0.25"/>
    <row r="122" spans="2:6" hidden="1" x14ac:dyDescent="0.25"/>
    <row r="123" spans="2:6" hidden="1" x14ac:dyDescent="0.25"/>
    <row r="124" spans="2:6" hidden="1" x14ac:dyDescent="0.25">
      <c r="F124" s="217" t="s">
        <v>415</v>
      </c>
    </row>
    <row r="125" spans="2:6" hidden="1" x14ac:dyDescent="0.25">
      <c r="B125" s="271" t="s">
        <v>180</v>
      </c>
      <c r="D125" s="271" t="s">
        <v>181</v>
      </c>
      <c r="F125" s="217" t="s">
        <v>414</v>
      </c>
    </row>
    <row r="126" spans="2:6" hidden="1" x14ac:dyDescent="0.25">
      <c r="B126" s="30" t="s">
        <v>260</v>
      </c>
      <c r="D126" s="30" t="s">
        <v>113</v>
      </c>
      <c r="F126" s="217" t="str">
        <f>IF(G9='Drop Down Lists'!B9,'Drop Down Lists'!B9,'Production Data'!F125)</f>
        <v>Not Other</v>
      </c>
    </row>
    <row r="127" spans="2:6" hidden="1" x14ac:dyDescent="0.25">
      <c r="B127" s="79">
        <f>IF(G45='Drop Down Lists'!B38,C82,IF(G45='Drop Down Lists'!B39,D82,E82))</f>
        <v>0.1</v>
      </c>
      <c r="D127" s="79">
        <f>IF('Production Data'!G45='Drop Down Lists'!B38,IF('Production Data'!G9='Drop Down Lists'!B4,'Production Data'!C91,'Production Data'!D91),IF('Production Data'!G45='Drop Down Lists'!B39,IF('Production Data'!G9='Drop Down Lists'!B4,'Production Data'!E91,'Production Data'!F91),IF('Production Data'!G9='Drop Down Lists'!B4,'Production Data'!G91,'Production Data'!H91)))</f>
        <v>7.4999999999999997E-2</v>
      </c>
    </row>
    <row r="128" spans="2:6" hidden="1" x14ac:dyDescent="0.25"/>
    <row r="129" spans="2:8" hidden="1" x14ac:dyDescent="0.25">
      <c r="B129" s="30" t="s">
        <v>25</v>
      </c>
      <c r="D129" s="30" t="s">
        <v>112</v>
      </c>
    </row>
    <row r="130" spans="2:8" hidden="1" x14ac:dyDescent="0.25">
      <c r="B130" s="79">
        <f>IF(G45='Drop Down Lists'!B38,C83,IF(G45='Drop Down Lists'!B39,D83,E83))</f>
        <v>0.05</v>
      </c>
      <c r="D130" s="79">
        <f>IF('Production Data'!G45='Drop Down Lists'!B38,IF('Production Data'!G9='Drop Down Lists'!B4,'Production Data'!C90,'Production Data'!D90),IF('Production Data'!G45='Drop Down Lists'!B39,IF('Production Data'!G9='Drop Down Lists'!B4,'Production Data'!E90,'Production Data'!F90),IF('Production Data'!G9='Drop Down Lists'!B4,'Production Data'!G90,'Production Data'!H90)))</f>
        <v>0.05</v>
      </c>
    </row>
    <row r="131" spans="2:8" hidden="1" x14ac:dyDescent="0.25"/>
    <row r="132" spans="2:8" hidden="1" x14ac:dyDescent="0.25">
      <c r="B132" s="337" t="s">
        <v>425</v>
      </c>
      <c r="C132" s="337"/>
      <c r="D132" s="337"/>
      <c r="E132" s="337"/>
      <c r="F132" s="337"/>
      <c r="G132" s="251" t="s">
        <v>14</v>
      </c>
    </row>
    <row r="133" spans="2:8" hidden="1" x14ac:dyDescent="0.25">
      <c r="B133" s="337" t="str">
        <f>"     If you answered "&amp;'Drop Down Lists'!B42&amp;", please enter the replacement rate here."</f>
        <v xml:space="preserve">     If you answered Yes, please enter the replacement rate here.</v>
      </c>
      <c r="C133" s="337"/>
      <c r="D133" s="337"/>
      <c r="E133" s="337"/>
      <c r="F133" s="337"/>
      <c r="G133" s="252">
        <v>0.05</v>
      </c>
    </row>
    <row r="134" spans="2:8" hidden="1" x14ac:dyDescent="0.25"/>
    <row r="135" spans="2:8" hidden="1" x14ac:dyDescent="0.25">
      <c r="B135" s="217" t="s">
        <v>426</v>
      </c>
    </row>
    <row r="136" spans="2:8" hidden="1" x14ac:dyDescent="0.25">
      <c r="B136" s="217" t="s">
        <v>427</v>
      </c>
    </row>
    <row r="137" spans="2:8" hidden="1" x14ac:dyDescent="0.25">
      <c r="B137" s="217" t="s">
        <v>428</v>
      </c>
    </row>
    <row r="138" spans="2:8" hidden="1" x14ac:dyDescent="0.25"/>
    <row r="139" spans="2:8" hidden="1" x14ac:dyDescent="0.25">
      <c r="B139" s="337" t="s">
        <v>75</v>
      </c>
      <c r="C139" s="337"/>
      <c r="D139" s="337"/>
      <c r="E139" s="336" t="s">
        <v>108</v>
      </c>
      <c r="F139" s="336"/>
    </row>
    <row r="140" spans="2:8" hidden="1" x14ac:dyDescent="0.25"/>
    <row r="141" spans="2:8" hidden="1" x14ac:dyDescent="0.25">
      <c r="B141" s="80" t="s">
        <v>29</v>
      </c>
      <c r="C141" s="80"/>
      <c r="D141" s="80"/>
      <c r="E141" s="80"/>
      <c r="F141" s="81"/>
      <c r="G141" s="81"/>
      <c r="H141" s="81"/>
    </row>
    <row r="142" spans="2:8" hidden="1" x14ac:dyDescent="0.25">
      <c r="B142" s="82"/>
      <c r="C142" s="80" t="s">
        <v>109</v>
      </c>
      <c r="D142" s="80" t="s">
        <v>110</v>
      </c>
      <c r="E142" s="80" t="s">
        <v>111</v>
      </c>
      <c r="F142" s="83"/>
      <c r="G142" s="30" t="s">
        <v>28</v>
      </c>
      <c r="H142" s="83"/>
    </row>
    <row r="143" spans="2:8" hidden="1" x14ac:dyDescent="0.25">
      <c r="B143" s="84" t="s">
        <v>8</v>
      </c>
      <c r="C143" s="85">
        <v>0</v>
      </c>
      <c r="D143" s="61">
        <v>0</v>
      </c>
      <c r="E143" s="61">
        <v>0</v>
      </c>
      <c r="F143" s="64"/>
      <c r="G143" s="64"/>
      <c r="H143" s="64"/>
    </row>
    <row r="144" spans="2:8" hidden="1" x14ac:dyDescent="0.25">
      <c r="B144" s="84" t="s">
        <v>10</v>
      </c>
      <c r="C144" s="61">
        <v>0</v>
      </c>
      <c r="D144" s="61">
        <v>0</v>
      </c>
      <c r="E144" s="61">
        <v>0</v>
      </c>
      <c r="F144" s="64"/>
      <c r="G144" s="86" t="s">
        <v>119</v>
      </c>
      <c r="H144" s="64"/>
    </row>
    <row r="145" spans="2:8" hidden="1" x14ac:dyDescent="0.25">
      <c r="B145" s="84" t="s">
        <v>74</v>
      </c>
      <c r="C145" s="61">
        <v>0</v>
      </c>
      <c r="D145" s="61">
        <v>0</v>
      </c>
      <c r="E145" s="61">
        <v>0</v>
      </c>
      <c r="F145" s="64"/>
      <c r="G145" s="86" t="s">
        <v>123</v>
      </c>
      <c r="H145" s="64"/>
    </row>
    <row r="146" spans="2:8" hidden="1" x14ac:dyDescent="0.25">
      <c r="B146" s="87" t="s">
        <v>121</v>
      </c>
      <c r="C146" s="88"/>
      <c r="D146" s="88"/>
      <c r="E146" s="89"/>
    </row>
    <row r="147" spans="2:8" hidden="1" x14ac:dyDescent="0.25"/>
    <row r="148" spans="2:8" hidden="1" x14ac:dyDescent="0.25"/>
    <row r="149" spans="2:8" hidden="1" x14ac:dyDescent="0.25">
      <c r="B149" s="80" t="s">
        <v>29</v>
      </c>
      <c r="C149" s="80"/>
      <c r="D149" s="80"/>
      <c r="E149" s="80"/>
    </row>
    <row r="150" spans="2:8" hidden="1" x14ac:dyDescent="0.25">
      <c r="B150" s="82"/>
      <c r="C150" s="80" t="s">
        <v>109</v>
      </c>
      <c r="D150" s="80" t="s">
        <v>110</v>
      </c>
      <c r="E150" s="80" t="s">
        <v>111</v>
      </c>
    </row>
    <row r="151" spans="2:8" hidden="1" x14ac:dyDescent="0.25">
      <c r="B151" s="84" t="s">
        <v>8</v>
      </c>
      <c r="C151" s="85">
        <v>0.01</v>
      </c>
      <c r="D151" s="61">
        <v>2.5000000000000001E-2</v>
      </c>
      <c r="E151" s="61">
        <v>0.05</v>
      </c>
    </row>
    <row r="152" spans="2:8" hidden="1" x14ac:dyDescent="0.25">
      <c r="B152" s="84" t="s">
        <v>10</v>
      </c>
      <c r="C152" s="61">
        <v>2.5000000000000001E-2</v>
      </c>
      <c r="D152" s="61">
        <v>0.05</v>
      </c>
      <c r="E152" s="61">
        <v>7.4999999999999997E-2</v>
      </c>
    </row>
    <row r="153" spans="2:8" hidden="1" x14ac:dyDescent="0.25">
      <c r="B153" s="84" t="s">
        <v>74</v>
      </c>
      <c r="C153" s="61">
        <v>0.05</v>
      </c>
      <c r="D153" s="61">
        <v>7.4999999999999997E-2</v>
      </c>
      <c r="E153" s="61">
        <v>0.1</v>
      </c>
    </row>
    <row r="154" spans="2:8" hidden="1" x14ac:dyDescent="0.25">
      <c r="B154" s="87" t="s">
        <v>122</v>
      </c>
      <c r="C154" s="88"/>
      <c r="D154" s="88"/>
      <c r="E154" s="89"/>
    </row>
    <row r="155" spans="2:8" hidden="1" x14ac:dyDescent="0.25"/>
    <row r="156" spans="2:8" hidden="1" x14ac:dyDescent="0.25"/>
    <row r="157" spans="2:8" hidden="1" x14ac:dyDescent="0.25">
      <c r="B157" s="39"/>
      <c r="C157" s="63"/>
      <c r="D157" s="63"/>
      <c r="E157" s="63"/>
      <c r="F157" s="63"/>
      <c r="G157" s="63"/>
      <c r="H157" s="64"/>
    </row>
    <row r="158" spans="2:8" hidden="1" x14ac:dyDescent="0.25">
      <c r="B158" s="118" t="s">
        <v>99</v>
      </c>
      <c r="C158" s="118"/>
      <c r="D158" s="118"/>
      <c r="E158" s="118"/>
      <c r="F158" s="63"/>
      <c r="G158" s="63"/>
      <c r="H158" s="64"/>
    </row>
    <row r="159" spans="2:8" hidden="1" x14ac:dyDescent="0.25">
      <c r="B159" s="118"/>
      <c r="C159" s="334" t="s">
        <v>112</v>
      </c>
      <c r="D159" s="90" t="s">
        <v>113</v>
      </c>
      <c r="E159" s="91"/>
      <c r="F159" s="63"/>
      <c r="G159" s="63"/>
      <c r="H159" s="64"/>
    </row>
    <row r="160" spans="2:8" hidden="1" x14ac:dyDescent="0.25">
      <c r="B160" s="46"/>
      <c r="C160" s="335"/>
      <c r="D160" s="118" t="s">
        <v>114</v>
      </c>
      <c r="E160" s="118" t="s">
        <v>115</v>
      </c>
      <c r="F160" s="63"/>
      <c r="G160" s="63"/>
      <c r="H160" s="64"/>
    </row>
    <row r="161" spans="2:8" hidden="1" x14ac:dyDescent="0.25">
      <c r="B161" s="46" t="s">
        <v>21</v>
      </c>
      <c r="C161" s="48">
        <v>25</v>
      </c>
      <c r="D161" s="48">
        <v>35</v>
      </c>
      <c r="E161" s="48">
        <v>45</v>
      </c>
      <c r="F161" s="63"/>
      <c r="G161" s="63"/>
      <c r="H161" s="64"/>
    </row>
    <row r="162" spans="2:8" hidden="1" x14ac:dyDescent="0.25">
      <c r="B162" s="46" t="s">
        <v>22</v>
      </c>
      <c r="C162" s="48">
        <v>15</v>
      </c>
      <c r="D162" s="48">
        <v>25</v>
      </c>
      <c r="E162" s="48">
        <v>35</v>
      </c>
      <c r="F162" s="63"/>
      <c r="G162" s="63"/>
      <c r="H162" s="64"/>
    </row>
    <row r="163" spans="2:8" hidden="1" x14ac:dyDescent="0.25">
      <c r="B163" s="46" t="s">
        <v>23</v>
      </c>
      <c r="C163" s="48">
        <v>10</v>
      </c>
      <c r="D163" s="48">
        <v>20</v>
      </c>
      <c r="E163" s="48">
        <v>30</v>
      </c>
      <c r="F163" s="55"/>
      <c r="G163" s="55"/>
      <c r="H163" s="55"/>
    </row>
    <row r="164" spans="2:8" hidden="1" x14ac:dyDescent="0.25">
      <c r="B164" s="90"/>
      <c r="C164" s="92"/>
      <c r="D164" s="92"/>
      <c r="E164" s="91"/>
      <c r="F164" s="55"/>
      <c r="G164" s="55"/>
      <c r="H164" s="55"/>
    </row>
    <row r="165" spans="2:8" hidden="1" x14ac:dyDescent="0.25"/>
  </sheetData>
  <sheetProtection algorithmName="SHA-512" hashValue="1Xc3fLtHHT0TPF9O/6pN38S9YDMuMCazYSdPx3g32qA6y7g3plIv1FKaW+o8ykhf6/8LYf+KuZHx3OG7ZoNWwQ==" saltValue="HZS4eoSz9fcnWAuEnz7xBA==" spinCount="100000" sheet="1" objects="1" scenarios="1" formatCells="0" formatColumns="0" formatRows="0"/>
  <customSheetViews>
    <customSheetView guid="{02D6CAA4-1939-49F0-A08C-119793CA9847}">
      <selection activeCell="B2" sqref="B2"/>
      <pageMargins left="0.7" right="0.7" top="0.75" bottom="0.75" header="0.3" footer="0.3"/>
      <pageSetup orientation="portrait"/>
    </customSheetView>
  </customSheetViews>
  <mergeCells count="97">
    <mergeCell ref="B133:F133"/>
    <mergeCell ref="B132:F132"/>
    <mergeCell ref="G47:H47"/>
    <mergeCell ref="C88:D88"/>
    <mergeCell ref="E88:F88"/>
    <mergeCell ref="G88:H88"/>
    <mergeCell ref="G51:H51"/>
    <mergeCell ref="B52:F52"/>
    <mergeCell ref="B51:F51"/>
    <mergeCell ref="B65:F65"/>
    <mergeCell ref="B62:F62"/>
    <mergeCell ref="B61:F61"/>
    <mergeCell ref="B50:H50"/>
    <mergeCell ref="B57:F57"/>
    <mergeCell ref="B54:F54"/>
    <mergeCell ref="B55:F55"/>
    <mergeCell ref="B15:F15"/>
    <mergeCell ref="B12:F12"/>
    <mergeCell ref="B33:H33"/>
    <mergeCell ref="B21:D21"/>
    <mergeCell ref="B28:F28"/>
    <mergeCell ref="G28:H28"/>
    <mergeCell ref="B30:F30"/>
    <mergeCell ref="B26:F26"/>
    <mergeCell ref="B20:D20"/>
    <mergeCell ref="B19:D19"/>
    <mergeCell ref="B18:D18"/>
    <mergeCell ref="B27:H27"/>
    <mergeCell ref="G26:H26"/>
    <mergeCell ref="G24:H24"/>
    <mergeCell ref="B29:F29"/>
    <mergeCell ref="G13:H13"/>
    <mergeCell ref="B13:F13"/>
    <mergeCell ref="B14:F14"/>
    <mergeCell ref="B9:F9"/>
    <mergeCell ref="B10:F10"/>
    <mergeCell ref="B87:H87"/>
    <mergeCell ref="B58:H58"/>
    <mergeCell ref="B53:F53"/>
    <mergeCell ref="B60:F60"/>
    <mergeCell ref="B59:F59"/>
    <mergeCell ref="B77:M77"/>
    <mergeCell ref="B84:E84"/>
    <mergeCell ref="B80:E80"/>
    <mergeCell ref="B64:H64"/>
    <mergeCell ref="I76:J76"/>
    <mergeCell ref="I75:J75"/>
    <mergeCell ref="I74:J74"/>
    <mergeCell ref="B31:F31"/>
    <mergeCell ref="B47:F47"/>
    <mergeCell ref="B45:F45"/>
    <mergeCell ref="B38:F38"/>
    <mergeCell ref="B37:H37"/>
    <mergeCell ref="B41:F41"/>
    <mergeCell ref="B40:F40"/>
    <mergeCell ref="B43:F43"/>
    <mergeCell ref="B42:H42"/>
    <mergeCell ref="B44:H44"/>
    <mergeCell ref="B35:F35"/>
    <mergeCell ref="G34:H34"/>
    <mergeCell ref="B39:F39"/>
    <mergeCell ref="I73:J73"/>
    <mergeCell ref="I72:J72"/>
    <mergeCell ref="I71:J71"/>
    <mergeCell ref="I70:J70"/>
    <mergeCell ref="B8:H8"/>
    <mergeCell ref="B32:F32"/>
    <mergeCell ref="C159:C160"/>
    <mergeCell ref="E139:F139"/>
    <mergeCell ref="B139:D139"/>
    <mergeCell ref="B34:F34"/>
    <mergeCell ref="B48:F48"/>
    <mergeCell ref="B36:F36"/>
    <mergeCell ref="B49:F49"/>
    <mergeCell ref="B56:F56"/>
    <mergeCell ref="B69:M69"/>
    <mergeCell ref="G65:H65"/>
    <mergeCell ref="G59:H59"/>
    <mergeCell ref="G45:H45"/>
    <mergeCell ref="B63:F63"/>
    <mergeCell ref="G38:H38"/>
    <mergeCell ref="G9:H9"/>
    <mergeCell ref="B46:H46"/>
    <mergeCell ref="B2:H2"/>
    <mergeCell ref="B3:H3"/>
    <mergeCell ref="B16:H16"/>
    <mergeCell ref="B22:H22"/>
    <mergeCell ref="B25:H25"/>
    <mergeCell ref="G23:H23"/>
    <mergeCell ref="B24:F24"/>
    <mergeCell ref="B23:F23"/>
    <mergeCell ref="B4:F4"/>
    <mergeCell ref="B5:F5"/>
    <mergeCell ref="B6:F6"/>
    <mergeCell ref="B7:F7"/>
    <mergeCell ref="B17:D17"/>
    <mergeCell ref="B11:H11"/>
  </mergeCells>
  <conditionalFormatting sqref="B76:E76 G76:I76 K76 M76">
    <cfRule type="expression" dxfId="50" priority="2">
      <formula>$F$126=$F$125</formula>
    </cfRule>
  </conditionalFormatting>
  <conditionalFormatting sqref="B10:H10">
    <cfRule type="expression" dxfId="49" priority="1">
      <formula>$F$126=$F$125</formula>
    </cfRule>
  </conditionalFormatting>
  <dataValidations count="3">
    <dataValidation type="decimal" operator="lessThanOrEqual" allowBlank="1" showInputMessage="1" showErrorMessage="1" errorTitle="ERROR" error="The sum of the percentages CANNOT be greater than 100%._x000a__x000a_If you are getting this error message and your percentages are less than 100%, please ensure that the &quot;%&quot; sign is entered in the cell.”" sqref="E19" xr:uid="{00000000-0002-0000-0100-000000000000}">
      <formula1>1-E18</formula1>
    </dataValidation>
    <dataValidation type="decimal" operator="lessThanOrEqual" allowBlank="1" showInputMessage="1" showErrorMessage="1" errorTitle="ERROR" error="The sum of the percentages CANNOT be greater than 100%._x000a__x000a_If you are getting this error message and your percentages are less than 100%, please ensure that the &quot;%&quot; sign is entered in the cell.”" sqref="E18" xr:uid="{00000000-0002-0000-0100-000001000000}">
      <formula1>1-E19</formula1>
    </dataValidation>
    <dataValidation type="list" allowBlank="1" showInputMessage="1" showErrorMessage="1" sqref="G132" xr:uid="{00000000-0002-0000-0100-000002000000}">
      <formula1>$C$8:$C$9</formula1>
    </dataValidation>
  </dataValidations>
  <pageMargins left="0.7" right="0.7" top="0.75" bottom="0.75" header="0.3" footer="0.3"/>
  <pageSetup scale="85" orientation="portrait" horizontalDpi="4294967295" verticalDpi="4294967295" r:id="rId1"/>
  <legacyDrawing r:id="rId2"/>
  <extLst>
    <ext xmlns:x14="http://schemas.microsoft.com/office/spreadsheetml/2009/9/main" uri="{78C0D931-6437-407d-A8EE-F0AAD7539E65}">
      <x14:conditionalFormattings>
        <x14:conditionalFormatting xmlns:xm="http://schemas.microsoft.com/office/excel/2006/main">
          <x14:cfRule type="expression" priority="197" id="{DABABE6E-969D-4E5D-BDE8-7119EC59BEC1}">
            <xm:f>$G$23='Drop Down Lists'!$B$19</xm:f>
            <x14:dxf>
              <font>
                <color theme="0"/>
              </font>
            </x14:dxf>
          </x14:cfRule>
          <xm:sqref>B24 G24</xm:sqref>
        </x14:conditionalFormatting>
        <x14:conditionalFormatting xmlns:xm="http://schemas.microsoft.com/office/excel/2006/main">
          <x14:cfRule type="expression" priority="226" id="{DE7CFDEB-2A41-4AF8-BFAD-174F13355E5D}">
            <xm:f>$G$59='Drop Down Lists'!$B$43</xm:f>
            <x14:dxf>
              <font>
                <color theme="0"/>
              </font>
            </x14:dxf>
          </x14:cfRule>
          <xm:sqref>B60:H63 J60:J63</xm:sqref>
        </x14:conditionalFormatting>
        <x14:conditionalFormatting xmlns:xm="http://schemas.microsoft.com/office/excel/2006/main">
          <x14:cfRule type="expression" priority="192" id="{0389DF0F-0F9D-44AB-930D-639F967CFCA1}">
            <xm:f>$G$9='Drop Down Lists'!$B$9</xm:f>
            <x14:dxf>
              <font>
                <color theme="0"/>
              </font>
            </x14:dxf>
          </x14:cfRule>
          <x14:cfRule type="expression" priority="193" id="{1B938C6C-F9E5-465B-8C13-7586994A7720}">
            <xm:f>$G$13='Drop Down Lists'!$B$12</xm:f>
            <x14:dxf>
              <font>
                <color theme="0"/>
              </font>
            </x14:dxf>
          </x14:cfRule>
          <xm:sqref>G14</xm:sqref>
        </x14:conditionalFormatting>
        <x14:conditionalFormatting xmlns:xm="http://schemas.microsoft.com/office/excel/2006/main">
          <x14:cfRule type="expression" priority="221" id="{E2E81EC9-97C5-4389-88B0-7784CD15BE02}">
            <xm:f>$G$34='Drop Down Lists'!$B$35</xm:f>
            <x14:dxf>
              <font>
                <color theme="0"/>
              </font>
            </x14:dxf>
          </x14:cfRule>
          <xm:sqref>G35:G36 B36:F36</xm:sqref>
        </x14:conditionalFormatting>
        <x14:conditionalFormatting xmlns:xm="http://schemas.microsoft.com/office/excel/2006/main">
          <x14:cfRule type="expression" priority="194" id="{61AB4729-0836-4B0D-BD64-886B94FDA7BE}">
            <xm:f>$G$38='Drop Down Lists'!$B$15</xm:f>
            <x14:dxf>
              <font>
                <color theme="0"/>
              </font>
            </x14:dxf>
          </x14:cfRule>
          <xm:sqref>G39</xm:sqref>
        </x14:conditionalFormatting>
        <x14:conditionalFormatting xmlns:xm="http://schemas.microsoft.com/office/excel/2006/main">
          <x14:cfRule type="expression" priority="187" id="{90EDC0CB-0282-418F-BF6E-C1F716B7E994}">
            <xm:f>$G$47='Drop Down Lists'!$B$11</xm:f>
            <x14:dxf>
              <font>
                <color theme="0"/>
              </font>
            </x14:dxf>
          </x14:cfRule>
          <xm:sqref>G48</xm:sqref>
        </x14:conditionalFormatting>
        <x14:conditionalFormatting xmlns:xm="http://schemas.microsoft.com/office/excel/2006/main">
          <x14:cfRule type="expression" priority="189" id="{56685B5D-3C06-4425-848A-3E128A436DCF}">
            <xm:f>$G$51='Drop Down Lists'!$B$11</xm:f>
            <x14:dxf>
              <font>
                <color theme="0"/>
              </font>
            </x14:dxf>
          </x14:cfRule>
          <xm:sqref>G52</xm:sqref>
        </x14:conditionalFormatting>
        <x14:conditionalFormatting xmlns:xm="http://schemas.microsoft.com/office/excel/2006/main">
          <x14:cfRule type="expression" priority="191" id="{30E151D8-D2D1-4F48-8241-009944297136}">
            <xm:f>$G$13='Drop Down Lists'!$B$11</xm:f>
            <x14:dxf>
              <font>
                <color theme="0"/>
              </font>
            </x14:dxf>
          </x14:cfRule>
          <xm:sqref>H14</xm:sqref>
        </x14:conditionalFormatting>
        <x14:conditionalFormatting xmlns:xm="http://schemas.microsoft.com/office/excel/2006/main">
          <x14:cfRule type="expression" priority="224" id="{9ECE20EA-A311-4BD5-A30A-D6CF64162263}">
            <xm:f>$G$34='Drop Down Lists'!$B$36</xm:f>
            <x14:dxf>
              <font>
                <color theme="0"/>
              </font>
            </x14:dxf>
          </x14:cfRule>
          <xm:sqref>H35</xm:sqref>
        </x14:conditionalFormatting>
        <x14:conditionalFormatting xmlns:xm="http://schemas.microsoft.com/office/excel/2006/main">
          <x14:cfRule type="expression" priority="283" id="{D5FADA45-973D-47AE-8C08-FB47E8D3E326}">
            <xm:f>$G$9='Drop Down Lists'!$B$9</xm:f>
            <x14:dxf>
              <font>
                <color theme="0"/>
              </font>
            </x14:dxf>
          </x14:cfRule>
          <x14:cfRule type="expression" priority="284" id="{10529952-CD2B-4202-AB8D-FF0F7A565802}">
            <xm:f>$G$38='Drop Down Lists'!$B$16</xm:f>
            <x14:dxf>
              <font>
                <color theme="0"/>
              </font>
            </x14:dxf>
          </x14:cfRule>
          <xm:sqref>H39</xm:sqref>
        </x14:conditionalFormatting>
        <x14:conditionalFormatting xmlns:xm="http://schemas.microsoft.com/office/excel/2006/main">
          <x14:cfRule type="expression" priority="188" id="{C9931C35-1E2F-46B1-B5FB-50CDB44445B8}">
            <xm:f>$G$47='Drop Down Lists'!$B$12</xm:f>
            <x14:dxf>
              <font>
                <color theme="0"/>
              </font>
            </x14:dxf>
          </x14:cfRule>
          <xm:sqref>H48</xm:sqref>
        </x14:conditionalFormatting>
        <x14:conditionalFormatting xmlns:xm="http://schemas.microsoft.com/office/excel/2006/main">
          <x14:cfRule type="expression" priority="190" id="{DA0C1182-9671-4767-8D3A-DDCAFE21B3C9}">
            <xm:f>$G$51='Drop Down Lists'!$B$12</xm:f>
            <x14:dxf>
              <font>
                <color theme="0"/>
              </font>
            </x14:dxf>
          </x14:cfRule>
          <xm:sqref>H52</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00000000-0002-0000-0100-000003000000}">
          <x14:formula1>
            <xm:f>'Drop Down Lists'!$B$15:$B$16</xm:f>
          </x14:formula1>
          <xm:sqref>G13:H13 G38:H38</xm:sqref>
        </x14:dataValidation>
        <x14:dataValidation type="list" errorStyle="information" allowBlank="1" showErrorMessage="1" xr:uid="{00000000-0002-0000-0100-000004000000}">
          <x14:formula1>
            <xm:f>'Drop Down Lists'!$B$4:$B$9</xm:f>
          </x14:formula1>
          <xm:sqref>G9:H9</xm:sqref>
        </x14:dataValidation>
        <x14:dataValidation type="list" allowBlank="1" showInputMessage="1" showErrorMessage="1" xr:uid="{00000000-0002-0000-0100-000005000000}">
          <x14:formula1>
            <xm:f>'Drop Down Lists'!$B$11:$B$12</xm:f>
          </x14:formula1>
          <xm:sqref>G51:I51 G47:H47</xm:sqref>
        </x14:dataValidation>
        <x14:dataValidation type="list" allowBlank="1" showInputMessage="1" showErrorMessage="1" xr:uid="{00000000-0002-0000-0100-000006000000}">
          <x14:formula1>
            <xm:f>'Drop Down Lists'!$B$19:$B$20</xm:f>
          </x14:formula1>
          <xm:sqref>G23:H23</xm:sqref>
        </x14:dataValidation>
        <x14:dataValidation type="list" allowBlank="1" showInputMessage="1" showErrorMessage="1" xr:uid="{00000000-0002-0000-0100-000007000000}">
          <x14:formula1>
            <xm:f>'Drop Down Lists'!$B$22:$B$23</xm:f>
          </x14:formula1>
          <xm:sqref>G24:H24</xm:sqref>
        </x14:dataValidation>
        <x14:dataValidation type="list" errorStyle="information" allowBlank="1" showErrorMessage="1" xr:uid="{00000000-0002-0000-0100-000008000000}">
          <x14:formula1>
            <xm:f>'Drop Down Lists'!$B$35:$B$36</xm:f>
          </x14:formula1>
          <xm:sqref>G34:H34</xm:sqref>
        </x14:dataValidation>
        <x14:dataValidation type="list" allowBlank="1" showInputMessage="1" showErrorMessage="1" xr:uid="{00000000-0002-0000-0100-000009000000}">
          <x14:formula1>
            <xm:f>'Drop Down Lists'!$B$38:$B$40</xm:f>
          </x14:formula1>
          <xm:sqref>G45:H45</xm:sqref>
        </x14:dataValidation>
        <x14:dataValidation type="list" allowBlank="1" showInputMessage="1" showErrorMessage="1" xr:uid="{00000000-0002-0000-0100-00000A000000}">
          <x14:formula1>
            <xm:f>'Drop Down Lists'!$B$42:$B$43</xm:f>
          </x14:formula1>
          <xm:sqref>G59:I59</xm:sqref>
        </x14:dataValidation>
        <x14:dataValidation type="list" allowBlank="1" showInputMessage="1" showErrorMessage="1" xr:uid="{00000000-0002-0000-0100-00000B000000}">
          <x14:formula1>
            <xm:f>'Drop Down Lists'!$B$46:$B$48</xm:f>
          </x14:formula1>
          <xm:sqref>G65:H65</xm:sqref>
        </x14:dataValidation>
        <x14:dataValidation type="list" allowBlank="1" showInputMessage="1" showErrorMessage="1" xr:uid="{00000000-0002-0000-0100-00000C000000}">
          <x14:formula1>
            <xm:f>'Drop Down Lists'!$B$67:$B$70</xm:f>
          </x14:formula1>
          <xm:sqref>E139</xm:sqref>
        </x14:dataValidation>
        <x14:dataValidation type="list" allowBlank="1" showInputMessage="1" showErrorMessage="1" xr:uid="{00000000-0002-0000-0100-00000D000000}">
          <x14:formula1>
            <xm:f>'Drop Down Lists'!$B$25:$B$28</xm:f>
          </x14:formula1>
          <xm:sqref>G26:H26</xm:sqref>
        </x14:dataValidation>
        <x14:dataValidation type="list" allowBlank="1" showInputMessage="1" showErrorMessage="1" xr:uid="{00000000-0002-0000-0100-00000E000000}">
          <x14:formula1>
            <xm:f>'Drop Down Lists'!$B$73:$B$75</xm:f>
          </x14:formula1>
          <xm:sqref>G28:H28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dimension ref="B1:S64"/>
  <sheetViews>
    <sheetView showGridLines="0" zoomScaleNormal="100" workbookViewId="0">
      <selection activeCell="E4" sqref="E4:G4"/>
    </sheetView>
  </sheetViews>
  <sheetFormatPr defaultRowHeight="12.75" x14ac:dyDescent="0.25"/>
  <cols>
    <col min="1" max="1" width="5.28515625" style="30" customWidth="1"/>
    <col min="2" max="2" width="5.140625" style="30" customWidth="1"/>
    <col min="3" max="3" width="13.5703125" style="30" customWidth="1"/>
    <col min="4" max="4" width="13.42578125" style="30" customWidth="1"/>
    <col min="5" max="5" width="11.7109375" style="30" customWidth="1"/>
    <col min="6" max="6" width="15.42578125" style="30" bestFit="1" customWidth="1"/>
    <col min="7" max="7" width="11.7109375" style="30" customWidth="1"/>
    <col min="8" max="8" width="11.7109375" style="55" customWidth="1"/>
    <col min="9" max="9" width="5.140625" style="30" customWidth="1"/>
    <col min="10" max="10" width="11.5703125" style="30" customWidth="1"/>
    <col min="11" max="11" width="13.42578125" style="30" customWidth="1"/>
    <col min="12" max="12" width="13.7109375" style="30" bestFit="1" customWidth="1"/>
    <col min="13" max="13" width="15" style="30" bestFit="1" customWidth="1"/>
    <col min="14" max="14" width="15.140625" style="30" bestFit="1" customWidth="1"/>
    <col min="15" max="15" width="16.140625" style="30" bestFit="1" customWidth="1"/>
    <col min="16" max="16" width="15.42578125" style="30" bestFit="1" customWidth="1"/>
    <col min="17" max="16384" width="9.140625" style="30"/>
  </cols>
  <sheetData>
    <row r="1" spans="2:18" ht="12.75" customHeight="1" x14ac:dyDescent="0.25"/>
    <row r="2" spans="2:18" ht="15.75" x14ac:dyDescent="0.25">
      <c r="B2" s="380" t="s">
        <v>431</v>
      </c>
      <c r="C2" s="380"/>
      <c r="D2" s="380"/>
      <c r="E2" s="380"/>
      <c r="F2" s="380"/>
      <c r="G2" s="380"/>
      <c r="H2" s="380"/>
      <c r="I2" s="189"/>
      <c r="J2" s="113"/>
      <c r="K2" s="113"/>
      <c r="L2" s="113"/>
      <c r="M2" s="113"/>
      <c r="N2" s="113"/>
    </row>
    <row r="3" spans="2:18" ht="12.75" customHeight="1" x14ac:dyDescent="0.25">
      <c r="B3" s="326"/>
      <c r="C3" s="326"/>
      <c r="D3" s="326"/>
      <c r="E3" s="326"/>
      <c r="F3" s="326"/>
      <c r="G3" s="326"/>
      <c r="H3" s="326"/>
      <c r="I3" s="32"/>
      <c r="J3" s="32"/>
      <c r="K3" s="32"/>
      <c r="L3" s="32"/>
      <c r="M3" s="32"/>
      <c r="N3" s="32"/>
    </row>
    <row r="4" spans="2:18" ht="12.75" customHeight="1" x14ac:dyDescent="0.25">
      <c r="B4" s="327" t="s">
        <v>327</v>
      </c>
      <c r="C4" s="327"/>
      <c r="D4" s="327"/>
      <c r="E4" s="340" t="s">
        <v>352</v>
      </c>
      <c r="F4" s="382"/>
      <c r="G4" s="341"/>
      <c r="H4" s="253"/>
      <c r="I4" s="190"/>
      <c r="J4" s="145" t="s">
        <v>217</v>
      </c>
      <c r="K4" s="131"/>
      <c r="L4" s="235"/>
      <c r="M4" s="131"/>
      <c r="N4" s="131"/>
    </row>
    <row r="5" spans="2:18" ht="12.75" customHeight="1" x14ac:dyDescent="0.25">
      <c r="B5" s="327" t="s">
        <v>328</v>
      </c>
      <c r="C5" s="327"/>
      <c r="D5" s="327"/>
      <c r="E5" s="136">
        <f>Summary!F9</f>
        <v>219.6875</v>
      </c>
      <c r="F5" s="205"/>
      <c r="G5" s="191"/>
      <c r="H5" s="173"/>
    </row>
    <row r="6" spans="2:18" ht="12.75" customHeight="1" x14ac:dyDescent="0.25">
      <c r="B6" s="328" t="s">
        <v>100</v>
      </c>
      <c r="C6" s="329"/>
      <c r="D6" s="330"/>
      <c r="E6" s="136">
        <f>'Production Data'!G5</f>
        <v>4</v>
      </c>
      <c r="F6" s="205"/>
      <c r="G6" s="191"/>
      <c r="H6" s="173"/>
    </row>
    <row r="7" spans="2:18" ht="12.75" customHeight="1" x14ac:dyDescent="0.25">
      <c r="B7" s="328" t="s">
        <v>349</v>
      </c>
      <c r="C7" s="329"/>
      <c r="D7" s="330"/>
      <c r="E7" s="136">
        <f>E5*E6</f>
        <v>878.75</v>
      </c>
      <c r="F7" s="205"/>
      <c r="G7" s="191"/>
      <c r="H7" s="173"/>
    </row>
    <row r="8" spans="2:18" ht="12.75" customHeight="1" x14ac:dyDescent="0.25">
      <c r="B8" s="324"/>
      <c r="C8" s="324"/>
      <c r="D8" s="324"/>
      <c r="E8" s="324"/>
      <c r="F8" s="324"/>
      <c r="G8" s="324"/>
      <c r="H8" s="324"/>
    </row>
    <row r="9" spans="2:18" ht="12.75" customHeight="1" x14ac:dyDescent="0.25">
      <c r="B9" s="324"/>
      <c r="C9" s="324"/>
      <c r="D9" s="324"/>
      <c r="E9" s="142" t="s">
        <v>284</v>
      </c>
      <c r="F9" s="134" t="s">
        <v>2</v>
      </c>
      <c r="G9" s="142" t="s">
        <v>285</v>
      </c>
      <c r="H9" s="142" t="s">
        <v>3</v>
      </c>
      <c r="I9" s="141"/>
      <c r="J9" s="36"/>
    </row>
    <row r="10" spans="2:18" ht="12.75" customHeight="1" x14ac:dyDescent="0.25">
      <c r="B10" s="368" t="s">
        <v>76</v>
      </c>
      <c r="C10" s="368"/>
      <c r="D10" s="368"/>
      <c r="E10" s="367"/>
      <c r="F10" s="367"/>
      <c r="G10" s="367"/>
      <c r="H10" s="367"/>
      <c r="P10" s="337"/>
      <c r="Q10" s="337"/>
      <c r="R10" s="192"/>
    </row>
    <row r="11" spans="2:18" ht="12.75" customHeight="1" x14ac:dyDescent="0.25">
      <c r="B11" s="116"/>
      <c r="C11" s="327" t="s">
        <v>127</v>
      </c>
      <c r="D11" s="327"/>
      <c r="E11" s="383" t="s">
        <v>126</v>
      </c>
      <c r="F11" s="383"/>
      <c r="G11" s="383"/>
      <c r="H11" s="383"/>
      <c r="I11" s="141"/>
      <c r="J11" s="36" t="s">
        <v>252</v>
      </c>
    </row>
    <row r="12" spans="2:18" ht="12.75" customHeight="1" x14ac:dyDescent="0.25">
      <c r="B12" s="116"/>
      <c r="C12" s="327" t="s">
        <v>329</v>
      </c>
      <c r="D12" s="327"/>
      <c r="E12" s="303">
        <v>50</v>
      </c>
      <c r="F12" s="193"/>
      <c r="G12" s="193"/>
      <c r="H12" s="173"/>
    </row>
    <row r="13" spans="2:18" ht="12.75" customHeight="1" x14ac:dyDescent="0.25">
      <c r="B13" s="116"/>
      <c r="C13" s="327" t="s">
        <v>330</v>
      </c>
      <c r="D13" s="327"/>
      <c r="E13" s="138">
        <v>1</v>
      </c>
      <c r="F13" s="194" t="s">
        <v>305</v>
      </c>
      <c r="G13" s="305">
        <v>25</v>
      </c>
      <c r="H13" s="158">
        <f>IF(E11='Drop Down Lists'!B56,IF(E5&lt;E12,E13*G13,0),IF(E11='Drop Down Lists'!B55,E13*G13,0))</f>
        <v>25</v>
      </c>
    </row>
    <row r="14" spans="2:18" ht="12.75" customHeight="1" x14ac:dyDescent="0.25">
      <c r="B14" s="116"/>
      <c r="C14" s="327" t="s">
        <v>331</v>
      </c>
      <c r="D14" s="327"/>
      <c r="E14" s="195">
        <f>E5</f>
        <v>219.6875</v>
      </c>
      <c r="F14" s="196" t="s">
        <v>635</v>
      </c>
      <c r="G14" s="306">
        <v>3.55</v>
      </c>
      <c r="H14" s="158">
        <f>E14*G14</f>
        <v>779.890625</v>
      </c>
      <c r="L14" s="115"/>
    </row>
    <row r="15" spans="2:18" ht="12.75" customHeight="1" x14ac:dyDescent="0.25">
      <c r="B15" s="116"/>
      <c r="C15" s="327" t="s">
        <v>332</v>
      </c>
      <c r="D15" s="327"/>
      <c r="E15" s="304">
        <v>0</v>
      </c>
      <c r="F15" s="196" t="s">
        <v>635</v>
      </c>
      <c r="G15" s="293">
        <v>1</v>
      </c>
      <c r="H15" s="158">
        <f>E15*G15</f>
        <v>0</v>
      </c>
      <c r="J15" s="36" t="s">
        <v>324</v>
      </c>
    </row>
    <row r="16" spans="2:18" ht="12.75" customHeight="1" x14ac:dyDescent="0.25">
      <c r="B16" s="372" t="s">
        <v>355</v>
      </c>
      <c r="C16" s="372"/>
      <c r="D16" s="372"/>
      <c r="E16" s="372"/>
      <c r="F16" s="372"/>
      <c r="G16" s="372"/>
      <c r="H16" s="119">
        <f>IF(E4='Drop Down Lists'!B50,IF(E11='Drop Down Lists'!B54,SUM(H14:H15),IF(E11='Drop Down Lists'!B55,SUM(H13:H15),IF(E5&lt;E12,SUM(H13:H15),SUM(H14:H15)))),0)</f>
        <v>0</v>
      </c>
    </row>
    <row r="17" spans="2:19" ht="12.75" customHeight="1" x14ac:dyDescent="0.25">
      <c r="B17" s="352" t="s">
        <v>356</v>
      </c>
      <c r="C17" s="353"/>
      <c r="D17" s="353"/>
      <c r="E17" s="353"/>
      <c r="F17" s="353"/>
      <c r="G17" s="354"/>
      <c r="H17" s="119">
        <f>H16*E6</f>
        <v>0</v>
      </c>
    </row>
    <row r="18" spans="2:19" ht="12.75" customHeight="1" x14ac:dyDescent="0.25">
      <c r="B18" s="381" t="s">
        <v>357</v>
      </c>
      <c r="C18" s="381"/>
      <c r="D18" s="381"/>
      <c r="E18" s="381"/>
      <c r="F18" s="381"/>
      <c r="G18" s="381"/>
      <c r="H18" s="151">
        <f>IF(E4='Drop Down Lists'!B50,H16/E5,0)</f>
        <v>0</v>
      </c>
      <c r="I18" s="197"/>
    </row>
    <row r="19" spans="2:19" ht="12.75" customHeight="1" x14ac:dyDescent="0.25">
      <c r="B19" s="324"/>
      <c r="C19" s="324"/>
      <c r="D19" s="324"/>
      <c r="E19" s="324"/>
      <c r="F19" s="324"/>
      <c r="G19" s="324"/>
      <c r="H19" s="324"/>
      <c r="I19" s="197"/>
      <c r="J19" s="198"/>
    </row>
    <row r="20" spans="2:19" ht="12.75" customHeight="1" x14ac:dyDescent="0.25">
      <c r="B20" s="365"/>
      <c r="C20" s="365"/>
      <c r="D20" s="365"/>
      <c r="E20" s="142" t="s">
        <v>284</v>
      </c>
      <c r="F20" s="134" t="s">
        <v>2</v>
      </c>
      <c r="G20" s="142" t="s">
        <v>285</v>
      </c>
      <c r="H20" s="142" t="s">
        <v>3</v>
      </c>
      <c r="I20" s="104"/>
      <c r="J20" s="211" t="s">
        <v>351</v>
      </c>
    </row>
    <row r="21" spans="2:19" ht="12.75" customHeight="1" x14ac:dyDescent="0.25">
      <c r="B21" s="368" t="s">
        <v>352</v>
      </c>
      <c r="C21" s="368"/>
      <c r="D21" s="368"/>
      <c r="E21" s="338"/>
      <c r="F21" s="338"/>
      <c r="G21" s="338"/>
      <c r="H21" s="338"/>
      <c r="O21" s="39"/>
    </row>
    <row r="22" spans="2:19" ht="12.75" customHeight="1" x14ac:dyDescent="0.25">
      <c r="B22" s="116"/>
      <c r="C22" s="327" t="s">
        <v>636</v>
      </c>
      <c r="D22" s="327"/>
      <c r="E22" s="199">
        <v>1</v>
      </c>
      <c r="F22" s="123" t="s">
        <v>305</v>
      </c>
      <c r="G22" s="305">
        <v>75</v>
      </c>
      <c r="H22" s="158">
        <f t="shared" ref="H22:H32" si="0">E22*G22</f>
        <v>75</v>
      </c>
      <c r="J22" s="36" t="s">
        <v>642</v>
      </c>
      <c r="Q22" s="202"/>
      <c r="R22" s="96"/>
      <c r="S22" s="97"/>
    </row>
    <row r="23" spans="2:19" ht="12.75" customHeight="1" x14ac:dyDescent="0.25">
      <c r="B23" s="116"/>
      <c r="C23" s="327" t="s">
        <v>333</v>
      </c>
      <c r="D23" s="327"/>
      <c r="E23" s="200">
        <f>E5-50</f>
        <v>169.6875</v>
      </c>
      <c r="F23" s="123" t="s">
        <v>635</v>
      </c>
      <c r="G23" s="306">
        <v>0.75</v>
      </c>
      <c r="H23" s="158">
        <f t="shared" si="0"/>
        <v>127.265625</v>
      </c>
      <c r="J23" s="36" t="s">
        <v>417</v>
      </c>
    </row>
    <row r="24" spans="2:19" ht="12.75" customHeight="1" x14ac:dyDescent="0.25">
      <c r="B24" s="116"/>
      <c r="C24" s="327" t="s">
        <v>145</v>
      </c>
      <c r="D24" s="327"/>
      <c r="E24" s="199">
        <v>1</v>
      </c>
      <c r="F24" s="47" t="s">
        <v>305</v>
      </c>
      <c r="G24" s="119">
        <f>N28</f>
        <v>22.916666666666668</v>
      </c>
      <c r="H24" s="158">
        <f>E24*G24</f>
        <v>22.916666666666668</v>
      </c>
      <c r="J24" s="377" t="s">
        <v>141</v>
      </c>
      <c r="K24" s="378"/>
      <c r="L24" s="378"/>
      <c r="M24" s="378"/>
      <c r="N24" s="379"/>
      <c r="O24" s="95"/>
    </row>
    <row r="25" spans="2:19" ht="12.75" customHeight="1" x14ac:dyDescent="0.25">
      <c r="B25" s="116"/>
      <c r="C25" s="327" t="s">
        <v>612</v>
      </c>
      <c r="D25" s="327"/>
      <c r="E25" s="199">
        <v>1</v>
      </c>
      <c r="F25" s="201" t="s">
        <v>305</v>
      </c>
      <c r="G25" s="158">
        <f>N31</f>
        <v>48.331249999999997</v>
      </c>
      <c r="H25" s="158">
        <f>E25*G25</f>
        <v>48.331249999999997</v>
      </c>
      <c r="J25" s="366"/>
      <c r="K25" s="366"/>
      <c r="L25" s="118" t="s">
        <v>219</v>
      </c>
      <c r="M25" s="118" t="s">
        <v>129</v>
      </c>
      <c r="N25" s="118" t="s">
        <v>101</v>
      </c>
      <c r="O25" s="73"/>
    </row>
    <row r="26" spans="2:19" ht="12.75" customHeight="1" x14ac:dyDescent="0.25">
      <c r="B26" s="165"/>
      <c r="C26" s="328" t="s">
        <v>643</v>
      </c>
      <c r="D26" s="330"/>
      <c r="E26" s="199">
        <v>1</v>
      </c>
      <c r="F26" s="201" t="s">
        <v>305</v>
      </c>
      <c r="G26" s="307">
        <v>0</v>
      </c>
      <c r="H26" s="158">
        <f>E26*G26</f>
        <v>0</v>
      </c>
      <c r="J26" s="327" t="s">
        <v>152</v>
      </c>
      <c r="K26" s="327"/>
      <c r="L26" s="308">
        <v>150</v>
      </c>
      <c r="M26" s="303">
        <v>2</v>
      </c>
      <c r="N26" s="119">
        <f>L26/(M26*E6)</f>
        <v>18.75</v>
      </c>
      <c r="O26" s="36" t="s">
        <v>637</v>
      </c>
      <c r="P26" s="288"/>
      <c r="Q26" s="288"/>
      <c r="R26" s="288"/>
    </row>
    <row r="27" spans="2:19" ht="12.75" customHeight="1" x14ac:dyDescent="0.25">
      <c r="B27" s="165"/>
      <c r="C27" s="206" t="s">
        <v>334</v>
      </c>
      <c r="D27" s="207"/>
      <c r="E27" s="138">
        <v>1</v>
      </c>
      <c r="F27" s="48" t="s">
        <v>305</v>
      </c>
      <c r="G27" s="305">
        <v>20</v>
      </c>
      <c r="H27" s="227">
        <f>E27*G27</f>
        <v>20</v>
      </c>
      <c r="J27" s="327" t="s">
        <v>25</v>
      </c>
      <c r="K27" s="327"/>
      <c r="L27" s="308">
        <v>50</v>
      </c>
      <c r="M27" s="303">
        <v>3</v>
      </c>
      <c r="N27" s="119">
        <f>L27/(M27*E6)</f>
        <v>4.166666666666667</v>
      </c>
      <c r="O27" s="73"/>
      <c r="P27" s="284"/>
      <c r="Q27" s="286"/>
      <c r="R27" s="111"/>
    </row>
    <row r="28" spans="2:19" ht="12.75" customHeight="1" x14ac:dyDescent="0.25">
      <c r="B28" s="362" t="s">
        <v>354</v>
      </c>
      <c r="C28" s="363"/>
      <c r="D28" s="363"/>
      <c r="E28" s="363"/>
      <c r="F28" s="363"/>
      <c r="G28" s="363"/>
      <c r="H28" s="364"/>
      <c r="I28" s="212">
        <f>E30-7.5</f>
        <v>-0.5</v>
      </c>
      <c r="J28" s="368" t="s">
        <v>151</v>
      </c>
      <c r="K28" s="368"/>
      <c r="L28" s="182"/>
      <c r="M28" s="177"/>
      <c r="N28" s="171">
        <f>SUM(N26:N27)</f>
        <v>22.916666666666668</v>
      </c>
      <c r="O28" s="73"/>
      <c r="P28" s="285"/>
      <c r="Q28" s="287"/>
      <c r="R28" s="285"/>
    </row>
    <row r="29" spans="2:19" ht="12.75" customHeight="1" x14ac:dyDescent="0.25">
      <c r="B29" s="116"/>
      <c r="C29" s="328" t="s">
        <v>609</v>
      </c>
      <c r="D29" s="330"/>
      <c r="E29" s="304">
        <v>3</v>
      </c>
      <c r="F29" s="201" t="s">
        <v>644</v>
      </c>
      <c r="G29" s="158"/>
      <c r="H29" s="158"/>
      <c r="I29" s="212"/>
      <c r="J29" s="366" t="s">
        <v>149</v>
      </c>
      <c r="K29" s="366"/>
      <c r="L29" s="168" t="s">
        <v>219</v>
      </c>
      <c r="M29" s="118" t="s">
        <v>118</v>
      </c>
      <c r="N29" s="169" t="s">
        <v>26</v>
      </c>
      <c r="O29" s="73"/>
    </row>
    <row r="30" spans="2:19" ht="12.75" customHeight="1" x14ac:dyDescent="0.25">
      <c r="B30" s="116"/>
      <c r="C30" s="328" t="s">
        <v>607</v>
      </c>
      <c r="D30" s="330"/>
      <c r="E30" s="304">
        <v>7</v>
      </c>
      <c r="F30" s="201" t="s">
        <v>299</v>
      </c>
      <c r="G30" s="158"/>
      <c r="H30" s="158"/>
      <c r="J30" s="327" t="s">
        <v>88</v>
      </c>
      <c r="K30" s="327"/>
      <c r="L30" s="293">
        <v>0.22</v>
      </c>
      <c r="M30" s="136">
        <f>Processing!E5</f>
        <v>219.6875</v>
      </c>
      <c r="N30" s="119">
        <f>L30*M30</f>
        <v>48.331249999999997</v>
      </c>
      <c r="O30" s="73"/>
    </row>
    <row r="31" spans="2:19" ht="12.75" customHeight="1" x14ac:dyDescent="0.25">
      <c r="B31" s="116"/>
      <c r="C31" s="327" t="s">
        <v>608</v>
      </c>
      <c r="D31" s="327"/>
      <c r="E31" s="138">
        <f>E29*E30</f>
        <v>21</v>
      </c>
      <c r="F31" s="48" t="s">
        <v>299</v>
      </c>
      <c r="G31" s="160">
        <f>IF('Production Data'!$G$59='Drop Down Lists'!B42,'Production Data'!$G$60,0)</f>
        <v>10</v>
      </c>
      <c r="H31" s="227">
        <f t="shared" si="0"/>
        <v>210</v>
      </c>
      <c r="J31" s="368" t="s">
        <v>148</v>
      </c>
      <c r="K31" s="368"/>
      <c r="L31" s="182"/>
      <c r="M31" s="183"/>
      <c r="N31" s="171">
        <f>SUM(N30:N30)</f>
        <v>48.331249999999997</v>
      </c>
      <c r="O31" s="73"/>
    </row>
    <row r="32" spans="2:19" ht="12.75" customHeight="1" x14ac:dyDescent="0.25">
      <c r="B32" s="116"/>
      <c r="C32" s="328" t="s">
        <v>610</v>
      </c>
      <c r="D32" s="330"/>
      <c r="E32" s="138">
        <f>IF(I28&gt;0,I28,0)</f>
        <v>0</v>
      </c>
      <c r="F32" s="48" t="s">
        <v>299</v>
      </c>
      <c r="G32" s="306">
        <v>10</v>
      </c>
      <c r="H32" s="227">
        <f t="shared" si="0"/>
        <v>0</v>
      </c>
      <c r="J32" s="62" t="s">
        <v>353</v>
      </c>
      <c r="K32" s="202"/>
      <c r="L32" s="96"/>
      <c r="M32" s="97"/>
      <c r="N32" s="73"/>
      <c r="O32" s="73"/>
    </row>
    <row r="33" spans="2:17" ht="12.75" customHeight="1" x14ac:dyDescent="0.25">
      <c r="B33" s="372" t="s">
        <v>355</v>
      </c>
      <c r="C33" s="372"/>
      <c r="D33" s="372"/>
      <c r="E33" s="372"/>
      <c r="F33" s="372"/>
      <c r="G33" s="372"/>
      <c r="H33" s="119">
        <f>IF(E4='Drop Down Lists'!B51,SUM(H22:H27,H31:H32),0)</f>
        <v>503.51354166666664</v>
      </c>
      <c r="J33" s="62"/>
      <c r="K33" s="202"/>
      <c r="L33" s="96"/>
      <c r="M33" s="97"/>
      <c r="N33" s="73"/>
      <c r="O33" s="73"/>
    </row>
    <row r="34" spans="2:17" ht="12.75" customHeight="1" x14ac:dyDescent="0.25">
      <c r="B34" s="352" t="s">
        <v>356</v>
      </c>
      <c r="C34" s="353"/>
      <c r="D34" s="353"/>
      <c r="E34" s="353"/>
      <c r="F34" s="353"/>
      <c r="G34" s="354"/>
      <c r="H34" s="119">
        <f>H33*E6</f>
        <v>2014.0541666666666</v>
      </c>
      <c r="J34" s="62"/>
      <c r="K34" s="202"/>
      <c r="L34" s="96"/>
      <c r="M34" s="97"/>
      <c r="N34" s="73"/>
      <c r="O34" s="73"/>
    </row>
    <row r="35" spans="2:17" ht="12.75" customHeight="1" x14ac:dyDescent="0.25">
      <c r="B35" s="381" t="s">
        <v>357</v>
      </c>
      <c r="C35" s="381"/>
      <c r="D35" s="381"/>
      <c r="E35" s="381"/>
      <c r="F35" s="381"/>
      <c r="G35" s="381"/>
      <c r="H35" s="151">
        <f>IF(E4='Drop Down Lists'!B51,H33/E5,0)</f>
        <v>2.2919535324798481</v>
      </c>
      <c r="J35" s="175"/>
      <c r="K35" s="202"/>
      <c r="L35" s="96"/>
      <c r="M35" s="97"/>
      <c r="N35" s="73"/>
      <c r="O35" s="73"/>
    </row>
    <row r="36" spans="2:17" ht="12.75" customHeight="1" x14ac:dyDescent="0.25">
      <c r="B36" s="324"/>
      <c r="C36" s="324"/>
      <c r="D36" s="324"/>
      <c r="E36" s="324"/>
      <c r="F36" s="324"/>
      <c r="G36" s="324"/>
      <c r="H36" s="324"/>
      <c r="J36" s="210" t="s">
        <v>350</v>
      </c>
      <c r="K36" s="175"/>
      <c r="L36" s="202"/>
      <c r="M36" s="96"/>
      <c r="N36" s="97"/>
      <c r="O36" s="73"/>
    </row>
    <row r="37" spans="2:17" ht="12.75" customHeight="1" x14ac:dyDescent="0.25">
      <c r="B37" s="331"/>
      <c r="C37" s="332"/>
      <c r="D37" s="333"/>
      <c r="E37" s="142" t="s">
        <v>284</v>
      </c>
      <c r="F37" s="134" t="s">
        <v>2</v>
      </c>
      <c r="G37" s="142" t="s">
        <v>285</v>
      </c>
      <c r="H37" s="142" t="s">
        <v>3</v>
      </c>
      <c r="J37" s="338" t="s">
        <v>142</v>
      </c>
      <c r="K37" s="338"/>
      <c r="L37" s="338"/>
      <c r="M37" s="338"/>
      <c r="N37" s="338"/>
      <c r="O37" s="338"/>
      <c r="P37" s="338"/>
    </row>
    <row r="38" spans="2:17" ht="12.75" customHeight="1" x14ac:dyDescent="0.25">
      <c r="B38" s="368" t="s">
        <v>407</v>
      </c>
      <c r="C38" s="368"/>
      <c r="D38" s="368"/>
      <c r="E38" s="367"/>
      <c r="F38" s="367"/>
      <c r="G38" s="367"/>
      <c r="H38" s="367"/>
      <c r="J38" s="365"/>
      <c r="K38" s="365"/>
      <c r="L38" s="365"/>
      <c r="M38" s="365"/>
      <c r="N38" s="365"/>
      <c r="O38" s="365"/>
      <c r="P38" s="365"/>
    </row>
    <row r="39" spans="2:17" ht="12.75" customHeight="1" x14ac:dyDescent="0.25">
      <c r="B39" s="116"/>
      <c r="C39" s="328" t="s">
        <v>145</v>
      </c>
      <c r="D39" s="330"/>
      <c r="E39" s="199">
        <v>1</v>
      </c>
      <c r="F39" s="48" t="s">
        <v>305</v>
      </c>
      <c r="G39" s="150">
        <f>P58</f>
        <v>207.89816551034153</v>
      </c>
      <c r="H39" s="158">
        <f>E39*G39</f>
        <v>207.89816551034153</v>
      </c>
      <c r="J39" s="327" t="s">
        <v>313</v>
      </c>
      <c r="K39" s="327"/>
      <c r="L39" s="303" t="s">
        <v>14</v>
      </c>
      <c r="M39" s="118"/>
      <c r="N39" s="176" t="s">
        <v>280</v>
      </c>
      <c r="O39" s="310">
        <v>0.03</v>
      </c>
      <c r="P39" s="118"/>
    </row>
    <row r="40" spans="2:17" x14ac:dyDescent="0.25">
      <c r="B40" s="116"/>
      <c r="C40" s="328" t="s">
        <v>334</v>
      </c>
      <c r="D40" s="330"/>
      <c r="E40" s="199">
        <v>1</v>
      </c>
      <c r="F40" s="48" t="s">
        <v>305</v>
      </c>
      <c r="G40" s="167">
        <f>P63</f>
        <v>120.80000000000001</v>
      </c>
      <c r="H40" s="158">
        <f>E40*G40</f>
        <v>120.80000000000001</v>
      </c>
      <c r="J40" s="365"/>
      <c r="K40" s="365"/>
      <c r="L40" s="365"/>
      <c r="M40" s="365"/>
      <c r="N40" s="365"/>
      <c r="O40" s="365"/>
      <c r="P40" s="365"/>
      <c r="Q40" s="39"/>
    </row>
    <row r="41" spans="2:17" ht="12.75" customHeight="1" x14ac:dyDescent="0.25">
      <c r="B41" s="116"/>
      <c r="C41" s="328" t="s">
        <v>131</v>
      </c>
      <c r="D41" s="330"/>
      <c r="E41" s="309">
        <v>20</v>
      </c>
      <c r="F41" s="48" t="s">
        <v>299</v>
      </c>
      <c r="G41" s="203">
        <f>IF('Production Data'!$G$59='Drop Down Lists'!B42,'Production Data'!$G$60,0)</f>
        <v>10</v>
      </c>
      <c r="H41" s="167">
        <f>E41*G41</f>
        <v>200</v>
      </c>
      <c r="J41" s="366" t="s">
        <v>143</v>
      </c>
      <c r="K41" s="366"/>
      <c r="L41" s="118" t="s">
        <v>219</v>
      </c>
      <c r="M41" s="118" t="s">
        <v>129</v>
      </c>
      <c r="N41" s="118" t="s">
        <v>312</v>
      </c>
      <c r="O41" s="118" t="s">
        <v>255</v>
      </c>
      <c r="P41" s="118" t="s">
        <v>26</v>
      </c>
      <c r="Q41" s="115"/>
    </row>
    <row r="42" spans="2:17" ht="12.75" customHeight="1" x14ac:dyDescent="0.25">
      <c r="B42" s="352" t="s">
        <v>355</v>
      </c>
      <c r="C42" s="353"/>
      <c r="D42" s="353"/>
      <c r="E42" s="353"/>
      <c r="F42" s="353"/>
      <c r="G42" s="354"/>
      <c r="H42" s="119">
        <f>IF(E4='Drop Down Lists'!B52,SUM(H39:H41),0)</f>
        <v>0</v>
      </c>
      <c r="J42" s="327" t="s">
        <v>78</v>
      </c>
      <c r="K42" s="327"/>
      <c r="L42" s="308">
        <v>8000</v>
      </c>
      <c r="M42" s="303">
        <v>20</v>
      </c>
      <c r="N42" s="150">
        <f>L42/M42</f>
        <v>400</v>
      </c>
      <c r="O42" s="150">
        <f>IF($L$39='Drop Down Lists'!$B$42,-PMT($O$39,M42,L42,0)-N42,0)</f>
        <v>137.72566077487306</v>
      </c>
      <c r="P42" s="119">
        <f>(N42+O42)/$E$6</f>
        <v>134.43141519371827</v>
      </c>
      <c r="Q42" s="198"/>
    </row>
    <row r="43" spans="2:17" x14ac:dyDescent="0.25">
      <c r="B43" s="352" t="s">
        <v>356</v>
      </c>
      <c r="C43" s="353"/>
      <c r="D43" s="353"/>
      <c r="E43" s="353"/>
      <c r="F43" s="353"/>
      <c r="G43" s="354"/>
      <c r="H43" s="119">
        <f>H42*E6</f>
        <v>0</v>
      </c>
      <c r="J43" s="327" t="s">
        <v>79</v>
      </c>
      <c r="K43" s="327"/>
      <c r="L43" s="308">
        <v>300</v>
      </c>
      <c r="M43" s="303">
        <v>10</v>
      </c>
      <c r="N43" s="150">
        <f>L43/M43</f>
        <v>30</v>
      </c>
      <c r="O43" s="150">
        <f>IF($L$39='Drop Down Lists'!$B$42,-PMT($O$39,M43,L43,0)-N43,0)</f>
        <v>5.169151981547877</v>
      </c>
      <c r="P43" s="119">
        <f>(N43+O43)/$E$6</f>
        <v>8.7922879953869693</v>
      </c>
      <c r="Q43" s="98"/>
    </row>
    <row r="44" spans="2:17" ht="12.75" customHeight="1" x14ac:dyDescent="0.25">
      <c r="B44" s="381" t="s">
        <v>357</v>
      </c>
      <c r="C44" s="381"/>
      <c r="D44" s="381"/>
      <c r="E44" s="381"/>
      <c r="F44" s="381"/>
      <c r="G44" s="381"/>
      <c r="H44" s="151">
        <f>IF(E4='Drop Down Lists'!B52,H42/E5,0)</f>
        <v>0</v>
      </c>
      <c r="J44" s="327" t="s">
        <v>80</v>
      </c>
      <c r="K44" s="327"/>
      <c r="L44" s="308">
        <v>800</v>
      </c>
      <c r="M44" s="303">
        <v>10</v>
      </c>
      <c r="N44" s="150">
        <f>L44/M44</f>
        <v>80</v>
      </c>
      <c r="O44" s="150">
        <f>IF($L$39='Drop Down Lists'!$B$42,-PMT($O$39,M44,L44,0)-N44,0)</f>
        <v>13.784405284127672</v>
      </c>
      <c r="P44" s="119">
        <f>(N44+O44)/$E$6</f>
        <v>23.446101321031918</v>
      </c>
    </row>
    <row r="45" spans="2:17" ht="12.75" customHeight="1" x14ac:dyDescent="0.25">
      <c r="B45" s="324"/>
      <c r="C45" s="324"/>
      <c r="D45" s="324"/>
      <c r="E45" s="324"/>
      <c r="F45" s="324"/>
      <c r="G45" s="324"/>
      <c r="H45" s="324"/>
      <c r="J45" s="327" t="s">
        <v>82</v>
      </c>
      <c r="K45" s="327"/>
      <c r="L45" s="308">
        <v>300</v>
      </c>
      <c r="M45" s="303">
        <v>10</v>
      </c>
      <c r="N45" s="150">
        <f>L45/M45</f>
        <v>30</v>
      </c>
      <c r="O45" s="150">
        <f>IF($L$39='Drop Down Lists'!$B$42,-PMT($O$39,M45,L45,0)-N45,0)</f>
        <v>5.169151981547877</v>
      </c>
      <c r="P45" s="119">
        <f>(N45+O45)/$E$6</f>
        <v>8.7922879953869693</v>
      </c>
    </row>
    <row r="46" spans="2:17" ht="12.75" customHeight="1" x14ac:dyDescent="0.25">
      <c r="B46" s="55"/>
      <c r="C46" s="55"/>
      <c r="D46" s="55"/>
      <c r="E46" s="55"/>
      <c r="F46" s="55"/>
      <c r="G46" s="55"/>
      <c r="J46" s="327" t="s">
        <v>25</v>
      </c>
      <c r="K46" s="327"/>
      <c r="L46" s="308">
        <v>100</v>
      </c>
      <c r="M46" s="303">
        <v>10</v>
      </c>
      <c r="N46" s="150">
        <f>L46/M46</f>
        <v>10</v>
      </c>
      <c r="O46" s="150">
        <f>IF($L$39='Drop Down Lists'!$B$42,-PMT($O$39,M46,L46,0)-N46,0)</f>
        <v>1.723050660515959</v>
      </c>
      <c r="P46" s="119">
        <f>(N46+O46)/$E$6</f>
        <v>2.9307626651289898</v>
      </c>
    </row>
    <row r="47" spans="2:17" ht="12.75" customHeight="1" x14ac:dyDescent="0.25">
      <c r="E47" s="204"/>
      <c r="F47" s="204"/>
      <c r="G47" s="204"/>
      <c r="J47" s="369" t="s">
        <v>146</v>
      </c>
      <c r="K47" s="370"/>
      <c r="L47" s="370"/>
      <c r="M47" s="371"/>
      <c r="N47" s="153">
        <f>SUM(N42:N46)</f>
        <v>550</v>
      </c>
      <c r="O47" s="153">
        <f>SUM(O42:O46)</f>
        <v>163.57142068261246</v>
      </c>
      <c r="P47" s="171">
        <f>SUM(P42:P46)</f>
        <v>178.39285517065312</v>
      </c>
    </row>
    <row r="48" spans="2:17" ht="4.5" customHeight="1" x14ac:dyDescent="0.25">
      <c r="E48" s="197"/>
      <c r="F48" s="197"/>
      <c r="G48" s="197"/>
      <c r="J48" s="372"/>
      <c r="K48" s="372"/>
      <c r="L48" s="372"/>
      <c r="M48" s="372"/>
      <c r="N48" s="372"/>
      <c r="O48" s="372"/>
      <c r="P48" s="372"/>
    </row>
    <row r="49" spans="2:17" ht="12.75" customHeight="1" x14ac:dyDescent="0.25">
      <c r="E49" s="197"/>
      <c r="F49" s="197"/>
      <c r="G49" s="197"/>
      <c r="J49" s="366" t="s">
        <v>144</v>
      </c>
      <c r="K49" s="366"/>
      <c r="L49" s="118" t="s">
        <v>219</v>
      </c>
      <c r="M49" s="118" t="s">
        <v>129</v>
      </c>
      <c r="N49" s="118" t="s">
        <v>312</v>
      </c>
      <c r="O49" s="118" t="s">
        <v>255</v>
      </c>
      <c r="P49" s="118" t="s">
        <v>101</v>
      </c>
    </row>
    <row r="50" spans="2:17" x14ac:dyDescent="0.25">
      <c r="J50" s="327" t="s">
        <v>580</v>
      </c>
      <c r="K50" s="327"/>
      <c r="L50" s="308">
        <v>150</v>
      </c>
      <c r="M50" s="303">
        <v>5</v>
      </c>
      <c r="N50" s="150">
        <f>L50/M50</f>
        <v>30</v>
      </c>
      <c r="O50" s="150">
        <f>IF($L$39='Drop Down Lists'!$B$42,-PMT($O$39,M50,L50,0)-N50,0)</f>
        <v>2.7531857100863988</v>
      </c>
      <c r="P50" s="119">
        <f>(N50+O50)/$E$6</f>
        <v>8.1882964275215997</v>
      </c>
    </row>
    <row r="51" spans="2:17" x14ac:dyDescent="0.25">
      <c r="C51" s="198"/>
      <c r="D51" s="198"/>
      <c r="E51" s="104"/>
      <c r="F51" s="104"/>
      <c r="G51" s="104"/>
      <c r="J51" s="327" t="s">
        <v>86</v>
      </c>
      <c r="K51" s="327"/>
      <c r="L51" s="308">
        <v>200</v>
      </c>
      <c r="M51" s="303">
        <v>15</v>
      </c>
      <c r="N51" s="150">
        <f t="shared" ref="N51:N56" si="1">L51/M51</f>
        <v>13.333333333333334</v>
      </c>
      <c r="O51" s="150">
        <f>IF($L$39='Drop Down Lists'!$B$42,-PMT($O$39,M51,L51,0)-N51,0)</f>
        <v>3.419982759124272</v>
      </c>
      <c r="P51" s="119">
        <f t="shared" ref="P51:P56" si="2">(N51+O51)/$E$6</f>
        <v>4.1883290231144015</v>
      </c>
      <c r="Q51" s="39"/>
    </row>
    <row r="52" spans="2:17" ht="12.75" customHeight="1" x14ac:dyDescent="0.25">
      <c r="C52" s="198"/>
      <c r="D52" s="198"/>
      <c r="E52" s="104"/>
      <c r="F52" s="104"/>
      <c r="G52" s="104"/>
      <c r="J52" s="327" t="s">
        <v>81</v>
      </c>
      <c r="K52" s="327"/>
      <c r="L52" s="308">
        <v>200</v>
      </c>
      <c r="M52" s="303">
        <v>15</v>
      </c>
      <c r="N52" s="150">
        <f t="shared" si="1"/>
        <v>13.333333333333334</v>
      </c>
      <c r="O52" s="150">
        <f>IF($L$39='Drop Down Lists'!$B$42,-PMT($O$39,M52,L52,0)-N52,0)</f>
        <v>3.419982759124272</v>
      </c>
      <c r="P52" s="119">
        <f t="shared" si="2"/>
        <v>4.1883290231144015</v>
      </c>
    </row>
    <row r="53" spans="2:17" ht="12.75" customHeight="1" x14ac:dyDescent="0.25">
      <c r="C53" s="198"/>
      <c r="D53" s="198"/>
      <c r="J53" s="327" t="s">
        <v>83</v>
      </c>
      <c r="K53" s="327"/>
      <c r="L53" s="308">
        <v>30</v>
      </c>
      <c r="M53" s="303">
        <v>7</v>
      </c>
      <c r="N53" s="150">
        <f t="shared" si="1"/>
        <v>4.2857142857142856</v>
      </c>
      <c r="O53" s="150">
        <f>IF($L$39='Drop Down Lists'!$B$42,-PMT($O$39,M53,L53,0)-N53,0)</f>
        <v>0.52947632691387359</v>
      </c>
      <c r="P53" s="119">
        <f t="shared" si="2"/>
        <v>1.2037976531570398</v>
      </c>
    </row>
    <row r="54" spans="2:17" x14ac:dyDescent="0.25">
      <c r="B54" s="36"/>
      <c r="C54" s="170"/>
      <c r="D54" s="170"/>
      <c r="E54" s="170"/>
      <c r="F54" s="62"/>
      <c r="G54" s="62"/>
      <c r="J54" s="327" t="s">
        <v>84</v>
      </c>
      <c r="K54" s="327"/>
      <c r="L54" s="308">
        <v>75</v>
      </c>
      <c r="M54" s="303">
        <v>5</v>
      </c>
      <c r="N54" s="150">
        <f t="shared" si="1"/>
        <v>15</v>
      </c>
      <c r="O54" s="150">
        <f>IF($L$39='Drop Down Lists'!$B$42,-PMT($O$39,M54,L54,0)-N54,0)</f>
        <v>1.3765928550431994</v>
      </c>
      <c r="P54" s="119">
        <f t="shared" si="2"/>
        <v>4.0941482137607998</v>
      </c>
    </row>
    <row r="55" spans="2:17" ht="12.75" customHeight="1" x14ac:dyDescent="0.25">
      <c r="B55" s="36"/>
      <c r="C55" s="36"/>
      <c r="D55" s="36"/>
      <c r="E55" s="36"/>
      <c r="F55" s="62"/>
      <c r="G55" s="62"/>
      <c r="J55" s="327" t="s">
        <v>85</v>
      </c>
      <c r="K55" s="327"/>
      <c r="L55" s="308">
        <v>90</v>
      </c>
      <c r="M55" s="303">
        <v>5</v>
      </c>
      <c r="N55" s="150">
        <f t="shared" si="1"/>
        <v>18</v>
      </c>
      <c r="O55" s="150">
        <f>IF($L$39='Drop Down Lists'!$B$42,-PMT($O$39,M55,L55,0)-N55,0)</f>
        <v>1.6519114260518428</v>
      </c>
      <c r="P55" s="119">
        <f t="shared" si="2"/>
        <v>4.9129778565129607</v>
      </c>
    </row>
    <row r="56" spans="2:17" ht="12.75" customHeight="1" x14ac:dyDescent="0.25">
      <c r="B56" s="36"/>
      <c r="C56" s="36"/>
      <c r="D56" s="36"/>
      <c r="E56" s="36"/>
      <c r="F56" s="62"/>
      <c r="G56" s="62"/>
      <c r="J56" s="327" t="s">
        <v>25</v>
      </c>
      <c r="K56" s="327"/>
      <c r="L56" s="308">
        <v>50</v>
      </c>
      <c r="M56" s="303">
        <v>5</v>
      </c>
      <c r="N56" s="150">
        <f t="shared" si="1"/>
        <v>10</v>
      </c>
      <c r="O56" s="150">
        <f>IF($L$39='Drop Down Lists'!$B$42,-PMT($O$39,M56,L56,0)-N56,0)</f>
        <v>0.91772857002880137</v>
      </c>
      <c r="P56" s="119">
        <f t="shared" si="2"/>
        <v>2.7294321425072003</v>
      </c>
    </row>
    <row r="57" spans="2:17" ht="12.75" customHeight="1" x14ac:dyDescent="0.25">
      <c r="F57" s="62"/>
      <c r="G57" s="62"/>
      <c r="J57" s="369" t="s">
        <v>147</v>
      </c>
      <c r="K57" s="370"/>
      <c r="L57" s="370"/>
      <c r="M57" s="371"/>
      <c r="N57" s="153">
        <f>SUM(N50:N56)</f>
        <v>103.95238095238096</v>
      </c>
      <c r="O57" s="153">
        <f>SUM(O50:O56)</f>
        <v>14.068860406372659</v>
      </c>
      <c r="P57" s="171">
        <f>SUM(P50:P56)</f>
        <v>29.505310339688403</v>
      </c>
    </row>
    <row r="58" spans="2:17" ht="12.75" customHeight="1" x14ac:dyDescent="0.25">
      <c r="B58" s="36"/>
      <c r="C58" s="36"/>
      <c r="D58" s="36"/>
      <c r="E58" s="36"/>
      <c r="F58" s="62"/>
      <c r="G58" s="62"/>
      <c r="J58" s="373" t="s">
        <v>151</v>
      </c>
      <c r="K58" s="374"/>
      <c r="L58" s="374"/>
      <c r="M58" s="374"/>
      <c r="N58" s="374"/>
      <c r="O58" s="375"/>
      <c r="P58" s="154">
        <f>P47+P57</f>
        <v>207.89816551034153</v>
      </c>
    </row>
    <row r="59" spans="2:17" ht="4.5" customHeight="1" x14ac:dyDescent="0.25">
      <c r="E59" s="62"/>
      <c r="F59" s="62"/>
      <c r="G59" s="62"/>
      <c r="J59" s="372"/>
      <c r="K59" s="372"/>
      <c r="L59" s="372"/>
      <c r="M59" s="372"/>
      <c r="N59" s="372"/>
      <c r="O59" s="372"/>
      <c r="P59" s="372"/>
    </row>
    <row r="60" spans="2:17" ht="12.75" customHeight="1" x14ac:dyDescent="0.25">
      <c r="J60" s="376" t="s">
        <v>138</v>
      </c>
      <c r="K60" s="376"/>
      <c r="L60" s="168" t="s">
        <v>219</v>
      </c>
      <c r="M60" s="118"/>
      <c r="N60" s="118"/>
      <c r="O60" s="118"/>
      <c r="P60" s="169" t="s">
        <v>26</v>
      </c>
    </row>
    <row r="61" spans="2:17" ht="12.75" customHeight="1" x14ac:dyDescent="0.25">
      <c r="J61" s="327" t="s">
        <v>77</v>
      </c>
      <c r="K61" s="327"/>
      <c r="L61" s="308">
        <f>3*23.6</f>
        <v>70.800000000000011</v>
      </c>
      <c r="M61" s="117"/>
      <c r="N61" s="117"/>
      <c r="O61" s="117"/>
      <c r="P61" s="119">
        <f>L61</f>
        <v>70.800000000000011</v>
      </c>
    </row>
    <row r="62" spans="2:17" ht="12.75" customHeight="1" x14ac:dyDescent="0.25">
      <c r="B62" s="99"/>
      <c r="J62" s="327" t="s">
        <v>326</v>
      </c>
      <c r="K62" s="327"/>
      <c r="L62" s="308">
        <v>50</v>
      </c>
      <c r="M62" s="116"/>
      <c r="N62" s="116"/>
      <c r="O62" s="116"/>
      <c r="P62" s="119">
        <f>L62</f>
        <v>50</v>
      </c>
    </row>
    <row r="63" spans="2:17" ht="12.75" customHeight="1" x14ac:dyDescent="0.25">
      <c r="J63" s="369" t="s">
        <v>150</v>
      </c>
      <c r="K63" s="370"/>
      <c r="L63" s="370"/>
      <c r="M63" s="370"/>
      <c r="N63" s="370"/>
      <c r="O63" s="371"/>
      <c r="P63" s="153">
        <f>SUM(P61:P62)</f>
        <v>120.80000000000001</v>
      </c>
    </row>
    <row r="64" spans="2:17" ht="12.75" customHeight="1" x14ac:dyDescent="0.25"/>
  </sheetData>
  <sheetProtection algorithmName="SHA-512" hashValue="qRjt2L0d63mEujQbiQVcFD+D6SIOLCeBl5Og89ZHCDL6XBEJizefnHok8NvgwZNdeUZ1hx++q1sI/Sc6FTpUyg==" saltValue="T5htwg2QzcZuFgvAPpei1Q==" spinCount="100000" sheet="1" objects="1" scenarios="1" formatCells="0" formatColumns="0" formatRows="0"/>
  <mergeCells count="84">
    <mergeCell ref="J44:K44"/>
    <mergeCell ref="C30:D30"/>
    <mergeCell ref="B44:G44"/>
    <mergeCell ref="B42:G42"/>
    <mergeCell ref="C41:D41"/>
    <mergeCell ref="C40:D40"/>
    <mergeCell ref="C39:D39"/>
    <mergeCell ref="B33:G33"/>
    <mergeCell ref="B36:H36"/>
    <mergeCell ref="B35:G35"/>
    <mergeCell ref="C31:D31"/>
    <mergeCell ref="C26:D26"/>
    <mergeCell ref="C25:D25"/>
    <mergeCell ref="E4:G4"/>
    <mergeCell ref="B17:G17"/>
    <mergeCell ref="C24:D24"/>
    <mergeCell ref="C23:D23"/>
    <mergeCell ref="C22:D22"/>
    <mergeCell ref="E10:H10"/>
    <mergeCell ref="B20:D20"/>
    <mergeCell ref="B19:H19"/>
    <mergeCell ref="B6:D6"/>
    <mergeCell ref="E11:H11"/>
    <mergeCell ref="B10:D10"/>
    <mergeCell ref="B7:D7"/>
    <mergeCell ref="B2:H2"/>
    <mergeCell ref="P10:Q10"/>
    <mergeCell ref="B21:D21"/>
    <mergeCell ref="B3:H3"/>
    <mergeCell ref="B18:G18"/>
    <mergeCell ref="B16:G16"/>
    <mergeCell ref="B9:D9"/>
    <mergeCell ref="B8:H8"/>
    <mergeCell ref="C15:D15"/>
    <mergeCell ref="C14:D14"/>
    <mergeCell ref="C13:D13"/>
    <mergeCell ref="C12:D12"/>
    <mergeCell ref="C11:D11"/>
    <mergeCell ref="B5:D5"/>
    <mergeCell ref="B4:D4"/>
    <mergeCell ref="E21:H21"/>
    <mergeCell ref="J47:M47"/>
    <mergeCell ref="B45:H45"/>
    <mergeCell ref="J46:K46"/>
    <mergeCell ref="J52:K52"/>
    <mergeCell ref="J51:K51"/>
    <mergeCell ref="J50:K50"/>
    <mergeCell ref="J49:K49"/>
    <mergeCell ref="J45:K45"/>
    <mergeCell ref="J24:N24"/>
    <mergeCell ref="J25:K25"/>
    <mergeCell ref="J30:K30"/>
    <mergeCell ref="J29:K29"/>
    <mergeCell ref="J28:K28"/>
    <mergeCell ref="J26:K26"/>
    <mergeCell ref="J27:K27"/>
    <mergeCell ref="J63:O63"/>
    <mergeCell ref="J59:P59"/>
    <mergeCell ref="J58:O58"/>
    <mergeCell ref="J57:M57"/>
    <mergeCell ref="J48:P48"/>
    <mergeCell ref="J61:K61"/>
    <mergeCell ref="J60:K60"/>
    <mergeCell ref="J62:K62"/>
    <mergeCell ref="J55:K55"/>
    <mergeCell ref="J54:K54"/>
    <mergeCell ref="J53:K53"/>
    <mergeCell ref="J56:K56"/>
    <mergeCell ref="B28:H28"/>
    <mergeCell ref="B34:G34"/>
    <mergeCell ref="B43:G43"/>
    <mergeCell ref="J39:K39"/>
    <mergeCell ref="J40:P40"/>
    <mergeCell ref="J38:P38"/>
    <mergeCell ref="J42:K42"/>
    <mergeCell ref="J41:K41"/>
    <mergeCell ref="J43:K43"/>
    <mergeCell ref="C32:D32"/>
    <mergeCell ref="J37:P37"/>
    <mergeCell ref="B37:D37"/>
    <mergeCell ref="E38:H38"/>
    <mergeCell ref="B38:D38"/>
    <mergeCell ref="J31:K31"/>
    <mergeCell ref="C29:D29"/>
  </mergeCells>
  <pageMargins left="0.7" right="0.7" top="0.75" bottom="0.75" header="0.3" footer="0.3"/>
  <pageSetup scale="75" orientation="landscape" horizontalDpi="4294967295" verticalDpi="4294967295" r:id="rId1"/>
  <legacyDrawing r:id="rId2"/>
  <extLst>
    <ext xmlns:x14="http://schemas.microsoft.com/office/spreadsheetml/2009/9/main" uri="{78C0D931-6437-407d-A8EE-F0AAD7539E65}">
      <x14:conditionalFormattings>
        <x14:conditionalFormatting xmlns:xm="http://schemas.microsoft.com/office/excel/2006/main">
          <x14:cfRule type="expression" priority="241" id="{CAB514B6-BCC3-4F14-B20F-4C8484DE71F5}">
            <xm:f>$E$4='Drop Down Lists'!$B$50</xm:f>
            <x14:dxf>
              <font>
                <color theme="0"/>
              </font>
              <fill>
                <patternFill patternType="none">
                  <bgColor auto="1"/>
                </patternFill>
              </fill>
            </x14:dxf>
          </x14:cfRule>
          <xm:sqref>B20:H45 J20:P63</xm:sqref>
        </x14:conditionalFormatting>
        <x14:conditionalFormatting xmlns:xm="http://schemas.microsoft.com/office/excel/2006/main">
          <x14:cfRule type="expression" priority="243" id="{F1EFAB2A-7CB4-44C5-BD2E-7388A763FF5E}">
            <xm:f>$E$4='Drop Down Lists'!$B$51</xm:f>
            <x14:dxf>
              <font>
                <color theme="0"/>
              </font>
              <fill>
                <patternFill patternType="none">
                  <bgColor auto="1"/>
                </patternFill>
              </fill>
            </x14:dxf>
          </x14:cfRule>
          <xm:sqref>B9:J18 J36:P63 B37:H44</xm:sqref>
        </x14:conditionalFormatting>
        <x14:conditionalFormatting xmlns:xm="http://schemas.microsoft.com/office/excel/2006/main">
          <x14:cfRule type="expression" priority="269" id="{DB45C7F2-276B-4843-855C-F2081CAAB9FB}">
            <xm:f>$E$11='Drop Down Lists'!$B$54</xm:f>
            <x14:dxf>
              <font>
                <color theme="0"/>
              </font>
            </x14:dxf>
          </x14:cfRule>
          <xm:sqref>C12:H13</xm:sqref>
        </x14:conditionalFormatting>
        <x14:conditionalFormatting xmlns:xm="http://schemas.microsoft.com/office/excel/2006/main">
          <x14:cfRule type="expression" priority="246" id="{53F1C9F9-9045-408C-9AFC-E3C6A512547E}">
            <xm:f>$E$4='Drop Down Lists'!$B$52</xm:f>
            <x14:dxf>
              <font>
                <color theme="0"/>
              </font>
              <fill>
                <patternFill patternType="none">
                  <bgColor auto="1"/>
                </patternFill>
              </fill>
            </x14:dxf>
          </x14:cfRule>
          <xm:sqref>J9:J23 B9:H35 J24:O34</xm:sqref>
        </x14:conditionalFormatting>
        <x14:conditionalFormatting xmlns:xm="http://schemas.microsoft.com/office/excel/2006/main">
          <x14:cfRule type="expression" priority="228" id="{627703D5-BA0E-4DBD-8E54-589C3D5B6E57}">
            <xm:f>$L$39='Drop Down Lists'!$B$43</xm:f>
            <x14:dxf>
              <font>
                <color theme="0"/>
              </font>
            </x14:dxf>
          </x14:cfRule>
          <xm:sqref>N39:O39 O41:O47 O49:O57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'Drop Down Lists'!$B$42:$B$43</xm:f>
          </x14:formula1>
          <xm:sqref>L39</xm:sqref>
        </x14:dataValidation>
        <x14:dataValidation type="list" allowBlank="1" showInputMessage="1" showErrorMessage="1" xr:uid="{00000000-0002-0000-0200-000001000000}">
          <x14:formula1>
            <xm:f>'Drop Down Lists'!$B$50:$B$52</xm:f>
          </x14:formula1>
          <xm:sqref>E4:G4</xm:sqref>
        </x14:dataValidation>
        <x14:dataValidation type="list" allowBlank="1" showInputMessage="1" showErrorMessage="1" xr:uid="{00000000-0002-0000-0200-000002000000}">
          <x14:formula1>
            <xm:f>'Drop Down Lists'!$B$54:$B$56</xm:f>
          </x14:formula1>
          <xm:sqref>E11:H11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Y78"/>
  <sheetViews>
    <sheetView showGridLines="0" workbookViewId="0">
      <selection activeCell="F5" sqref="F5:G5"/>
    </sheetView>
  </sheetViews>
  <sheetFormatPr defaultRowHeight="12.75" x14ac:dyDescent="0.25"/>
  <cols>
    <col min="1" max="2" width="5.28515625" style="30" customWidth="1"/>
    <col min="3" max="4" width="11.7109375" style="30" customWidth="1"/>
    <col min="5" max="5" width="10.5703125" style="30" customWidth="1"/>
    <col min="6" max="6" width="11.42578125" style="30" bestFit="1" customWidth="1"/>
    <col min="7" max="7" width="10.140625" style="30" customWidth="1"/>
    <col min="8" max="8" width="11.5703125" style="55" customWidth="1"/>
    <col min="9" max="10" width="11.5703125" style="30" customWidth="1"/>
    <col min="11" max="11" width="9.140625" style="30" customWidth="1"/>
    <col min="12" max="12" width="12.5703125" style="30" customWidth="1"/>
    <col min="13" max="13" width="9.140625" style="30" customWidth="1"/>
    <col min="14" max="14" width="10" style="30" customWidth="1"/>
    <col min="15" max="15" width="11.42578125" style="30" customWidth="1"/>
    <col min="16" max="16" width="11.85546875" style="30" customWidth="1"/>
    <col min="17" max="17" width="10" style="30" customWidth="1"/>
    <col min="18" max="18" width="9.85546875" style="30" customWidth="1"/>
    <col min="19" max="19" width="10.140625" style="30" customWidth="1"/>
    <col min="20" max="16384" width="9.140625" style="30"/>
  </cols>
  <sheetData>
    <row r="1" spans="2:25" ht="12.75" customHeight="1" x14ac:dyDescent="0.25"/>
    <row r="2" spans="2:25" ht="15.75" x14ac:dyDescent="0.25">
      <c r="B2" s="380" t="s">
        <v>430</v>
      </c>
      <c r="C2" s="380"/>
      <c r="D2" s="380"/>
      <c r="E2" s="380"/>
      <c r="F2" s="380"/>
      <c r="G2" s="380"/>
      <c r="H2" s="380"/>
      <c r="I2" s="139"/>
      <c r="J2" s="139"/>
      <c r="K2" s="113"/>
      <c r="L2" s="113"/>
      <c r="M2" s="113"/>
      <c r="N2" s="113"/>
      <c r="O2" s="113"/>
      <c r="P2" s="113"/>
    </row>
    <row r="3" spans="2:25" ht="12.75" customHeight="1" x14ac:dyDescent="0.25">
      <c r="B3" s="324"/>
      <c r="C3" s="324"/>
      <c r="D3" s="324"/>
      <c r="E3" s="324"/>
      <c r="F3" s="324"/>
      <c r="G3" s="324"/>
      <c r="H3" s="324"/>
    </row>
    <row r="4" spans="2:25" ht="12.75" customHeight="1" x14ac:dyDescent="0.25">
      <c r="B4" s="327" t="s">
        <v>381</v>
      </c>
      <c r="C4" s="327"/>
      <c r="D4" s="327"/>
      <c r="E4" s="327"/>
      <c r="F4" s="323" t="s">
        <v>103</v>
      </c>
      <c r="G4" s="323"/>
      <c r="H4" s="173"/>
      <c r="J4" s="145" t="s">
        <v>217</v>
      </c>
      <c r="K4" s="131"/>
      <c r="L4" s="131"/>
      <c r="M4" s="131"/>
      <c r="N4" s="131"/>
      <c r="O4" s="131"/>
      <c r="X4" s="40"/>
      <c r="Y4" s="40"/>
    </row>
    <row r="5" spans="2:25" x14ac:dyDescent="0.25">
      <c r="B5" s="328" t="s">
        <v>309</v>
      </c>
      <c r="C5" s="329"/>
      <c r="D5" s="329"/>
      <c r="E5" s="330"/>
      <c r="F5" s="323" t="s">
        <v>338</v>
      </c>
      <c r="G5" s="323"/>
      <c r="H5" s="173"/>
      <c r="J5" s="211" t="s">
        <v>408</v>
      </c>
      <c r="X5" s="40"/>
      <c r="Y5" s="40"/>
    </row>
    <row r="6" spans="2:25" x14ac:dyDescent="0.25">
      <c r="B6" s="331"/>
      <c r="C6" s="332"/>
      <c r="D6" s="332"/>
      <c r="E6" s="332"/>
      <c r="F6" s="332"/>
      <c r="G6" s="332"/>
      <c r="H6" s="333"/>
      <c r="J6" s="211" t="s">
        <v>409</v>
      </c>
      <c r="X6" s="40"/>
      <c r="Y6" s="40"/>
    </row>
    <row r="7" spans="2:25" ht="12.75" customHeight="1" x14ac:dyDescent="0.25">
      <c r="B7" s="324"/>
      <c r="C7" s="324"/>
      <c r="D7" s="324"/>
      <c r="E7" s="134" t="s">
        <v>284</v>
      </c>
      <c r="F7" s="134" t="s">
        <v>2</v>
      </c>
      <c r="G7" s="134" t="s">
        <v>285</v>
      </c>
      <c r="H7" s="134" t="s">
        <v>3</v>
      </c>
      <c r="I7" s="39"/>
      <c r="P7" s="39"/>
      <c r="Q7" s="39"/>
      <c r="R7" s="39"/>
    </row>
    <row r="8" spans="2:25" ht="12.75" customHeight="1" x14ac:dyDescent="0.25">
      <c r="B8" s="368" t="s">
        <v>382</v>
      </c>
      <c r="C8" s="368"/>
      <c r="D8" s="368"/>
      <c r="E8" s="338"/>
      <c r="F8" s="338"/>
      <c r="G8" s="338"/>
      <c r="H8" s="338"/>
      <c r="I8" s="39"/>
      <c r="P8" s="40"/>
      <c r="Q8" s="40"/>
      <c r="R8" s="40"/>
    </row>
    <row r="9" spans="2:25" ht="12.75" customHeight="1" x14ac:dyDescent="0.25">
      <c r="B9" s="116"/>
      <c r="C9" s="328" t="s">
        <v>286</v>
      </c>
      <c r="D9" s="330"/>
      <c r="E9" s="185">
        <v>30</v>
      </c>
      <c r="F9" s="173" t="s">
        <v>290</v>
      </c>
      <c r="G9" s="140">
        <v>3</v>
      </c>
      <c r="H9" s="158">
        <f>E9*G9</f>
        <v>90</v>
      </c>
      <c r="J9" s="198"/>
      <c r="L9" s="198"/>
      <c r="P9" s="102"/>
      <c r="Q9" s="102"/>
      <c r="R9" s="102"/>
    </row>
    <row r="10" spans="2:25" ht="12.75" customHeight="1" x14ac:dyDescent="0.25">
      <c r="B10" s="116"/>
      <c r="C10" s="328" t="s">
        <v>337</v>
      </c>
      <c r="D10" s="330"/>
      <c r="E10" s="138">
        <v>1</v>
      </c>
      <c r="F10" s="173" t="s">
        <v>306</v>
      </c>
      <c r="G10" s="305">
        <v>75</v>
      </c>
      <c r="H10" s="158">
        <f>E10*G10</f>
        <v>75</v>
      </c>
      <c r="P10" s="102"/>
      <c r="Q10" s="102"/>
      <c r="R10" s="102"/>
    </row>
    <row r="11" spans="2:25" ht="12.75" customHeight="1" x14ac:dyDescent="0.25">
      <c r="B11" s="165"/>
      <c r="C11" s="165" t="s">
        <v>336</v>
      </c>
      <c r="D11" s="311" t="s">
        <v>239</v>
      </c>
      <c r="E11" s="138">
        <v>1</v>
      </c>
      <c r="F11" s="186" t="s">
        <v>305</v>
      </c>
      <c r="G11" s="167">
        <f>H29</f>
        <v>0</v>
      </c>
      <c r="H11" s="158">
        <f>IF(D11='Drop Down Lists'!B31,E11*G11,0)</f>
        <v>0</v>
      </c>
      <c r="J11" s="62" t="s">
        <v>307</v>
      </c>
      <c r="K11" s="39"/>
      <c r="L11" s="107"/>
      <c r="P11" s="102"/>
      <c r="Q11" s="102"/>
      <c r="R11" s="102"/>
    </row>
    <row r="12" spans="2:25" ht="12.75" customHeight="1" x14ac:dyDescent="0.25">
      <c r="B12" s="165"/>
      <c r="C12" s="328" t="s">
        <v>335</v>
      </c>
      <c r="D12" s="330"/>
      <c r="E12" s="138">
        <v>1</v>
      </c>
      <c r="F12" s="186" t="s">
        <v>305</v>
      </c>
      <c r="G12" s="164">
        <v>40</v>
      </c>
      <c r="H12" s="158">
        <f>IF(D11='Drop Down Lists'!B30,E12*G12,0)</f>
        <v>40</v>
      </c>
      <c r="J12" s="36" t="s">
        <v>308</v>
      </c>
      <c r="K12" s="39"/>
      <c r="L12" s="105"/>
      <c r="N12" s="106"/>
      <c r="O12" s="106"/>
      <c r="P12" s="106"/>
      <c r="Q12" s="106"/>
      <c r="R12" s="106"/>
    </row>
    <row r="13" spans="2:25" ht="12.75" customHeight="1" x14ac:dyDescent="0.25">
      <c r="B13" s="352" t="s">
        <v>388</v>
      </c>
      <c r="C13" s="353"/>
      <c r="D13" s="353"/>
      <c r="E13" s="353"/>
      <c r="F13" s="353"/>
      <c r="G13" s="354"/>
      <c r="H13" s="119">
        <f>IF(Processing!$E$4='Drop Down Lists'!B52,0,IF(F4='Drop Down Lists'!B59,IF(F5='Drop Down Lists'!B61,H10+H11+H12,H9+H11+H12),0))</f>
        <v>115</v>
      </c>
      <c r="I13" s="39"/>
      <c r="P13" s="187"/>
      <c r="R13" s="40"/>
    </row>
    <row r="14" spans="2:25" ht="12.75" hidden="1" customHeight="1" x14ac:dyDescent="0.25">
      <c r="B14" s="389" t="s">
        <v>390</v>
      </c>
      <c r="C14" s="390"/>
      <c r="D14" s="390"/>
      <c r="E14" s="390"/>
      <c r="F14" s="390"/>
      <c r="G14" s="391"/>
      <c r="H14" s="236">
        <f>IF(F5='Drop Down Lists'!B61,H10+H30,H9+H30)</f>
        <v>106.86486486486487</v>
      </c>
      <c r="I14" s="39"/>
      <c r="J14" s="230" t="s">
        <v>322</v>
      </c>
      <c r="K14" s="39"/>
      <c r="L14" s="39"/>
      <c r="M14" s="39"/>
    </row>
    <row r="15" spans="2:25" ht="12.75" customHeight="1" x14ac:dyDescent="0.2">
      <c r="B15" s="218" t="s">
        <v>392</v>
      </c>
      <c r="C15" s="219"/>
      <c r="D15" s="219"/>
      <c r="E15" s="219"/>
      <c r="F15" s="219"/>
      <c r="G15" s="220"/>
      <c r="H15" s="119">
        <f>IF(F4='Drop Down Lists'!B59,H13*'Production Data'!G5,0)</f>
        <v>460</v>
      </c>
      <c r="I15" s="39"/>
      <c r="J15" s="31"/>
      <c r="K15" s="39"/>
      <c r="L15" s="39"/>
      <c r="M15" s="39"/>
    </row>
    <row r="16" spans="2:25" ht="12.75" hidden="1" customHeight="1" x14ac:dyDescent="0.2">
      <c r="B16" s="385" t="s">
        <v>389</v>
      </c>
      <c r="C16" s="386"/>
      <c r="D16" s="386"/>
      <c r="E16" s="386"/>
      <c r="F16" s="386"/>
      <c r="G16" s="387"/>
      <c r="H16" s="151">
        <f>IF(F4='Drop Down Lists'!B59,H13/Processing!E5,0)</f>
        <v>0.5234708392603129</v>
      </c>
      <c r="J16" s="31" t="s">
        <v>563</v>
      </c>
      <c r="K16" s="40"/>
      <c r="L16" s="40"/>
      <c r="M16" s="40"/>
    </row>
    <row r="17" spans="2:25" ht="12.75" customHeight="1" x14ac:dyDescent="0.25">
      <c r="B17" s="324"/>
      <c r="C17" s="324"/>
      <c r="D17" s="324"/>
      <c r="E17" s="324"/>
      <c r="F17" s="324"/>
      <c r="G17" s="324"/>
      <c r="H17" s="324"/>
      <c r="X17" s="40"/>
      <c r="Y17" s="40"/>
    </row>
    <row r="18" spans="2:25" ht="12.75" customHeight="1" x14ac:dyDescent="0.25">
      <c r="B18" s="331"/>
      <c r="C18" s="332"/>
      <c r="D18" s="333"/>
      <c r="E18" s="134" t="s">
        <v>284</v>
      </c>
      <c r="F18" s="134" t="s">
        <v>2</v>
      </c>
      <c r="G18" s="134" t="s">
        <v>285</v>
      </c>
      <c r="H18" s="134" t="s">
        <v>3</v>
      </c>
      <c r="X18" s="40"/>
      <c r="Y18" s="40"/>
    </row>
    <row r="19" spans="2:25" x14ac:dyDescent="0.25">
      <c r="B19" s="368" t="s">
        <v>283</v>
      </c>
      <c r="C19" s="368"/>
      <c r="D19" s="368"/>
      <c r="E19" s="338"/>
      <c r="F19" s="338"/>
      <c r="G19" s="338"/>
      <c r="H19" s="338"/>
      <c r="J19" s="39"/>
      <c r="X19" s="40"/>
      <c r="Y19" s="40"/>
    </row>
    <row r="20" spans="2:25" ht="12.75" customHeight="1" x14ac:dyDescent="0.25">
      <c r="B20" s="223"/>
      <c r="C20" s="328" t="s">
        <v>291</v>
      </c>
      <c r="D20" s="330"/>
      <c r="E20" s="311">
        <v>18.5</v>
      </c>
      <c r="F20" s="173" t="s">
        <v>287</v>
      </c>
      <c r="G20" s="116"/>
      <c r="H20" s="118"/>
      <c r="J20" s="39"/>
      <c r="X20" s="102"/>
      <c r="Y20" s="102"/>
    </row>
    <row r="21" spans="2:25" ht="12.75" customHeight="1" x14ac:dyDescent="0.25">
      <c r="B21" s="223"/>
      <c r="C21" s="327" t="s">
        <v>281</v>
      </c>
      <c r="D21" s="327"/>
      <c r="E21" s="138">
        <v>1</v>
      </c>
      <c r="F21" s="173" t="s">
        <v>288</v>
      </c>
      <c r="G21" s="306">
        <v>2.75</v>
      </c>
      <c r="H21" s="173"/>
      <c r="J21" s="36"/>
      <c r="X21" s="102"/>
      <c r="Y21" s="102"/>
    </row>
    <row r="22" spans="2:25" ht="12.75" customHeight="1" x14ac:dyDescent="0.25">
      <c r="B22" s="362" t="s">
        <v>384</v>
      </c>
      <c r="C22" s="363"/>
      <c r="D22" s="363"/>
      <c r="E22" s="363"/>
      <c r="F22" s="363"/>
      <c r="G22" s="363"/>
      <c r="H22" s="364"/>
      <c r="J22" s="338" t="s">
        <v>582</v>
      </c>
      <c r="K22" s="338"/>
      <c r="L22" s="338"/>
      <c r="M22" s="338"/>
      <c r="O22" s="338" t="s">
        <v>583</v>
      </c>
      <c r="P22" s="338"/>
      <c r="Q22" s="338"/>
      <c r="R22" s="338"/>
      <c r="S22" s="338"/>
      <c r="X22" s="102"/>
      <c r="Y22" s="102"/>
    </row>
    <row r="23" spans="2:25" ht="12.75" customHeight="1" x14ac:dyDescent="0.25">
      <c r="B23" s="180"/>
      <c r="C23" s="328" t="b">
        <f>IF(F4='Drop Down Lists'!B58,"Total Miles for Delivery &amp; Pick Up",IF(D11='Drop Down Lists'!B31,"Total Miles for Pick Up"))</f>
        <v>0</v>
      </c>
      <c r="D23" s="330"/>
      <c r="E23" s="303">
        <v>100</v>
      </c>
      <c r="F23" s="173" t="s">
        <v>383</v>
      </c>
      <c r="G23" s="166"/>
      <c r="H23" s="166"/>
      <c r="J23" s="327" t="s">
        <v>245</v>
      </c>
      <c r="K23" s="327"/>
      <c r="L23" s="312">
        <v>15000</v>
      </c>
      <c r="M23" s="116"/>
      <c r="O23" s="328"/>
      <c r="P23" s="330"/>
      <c r="Q23" s="174" t="s">
        <v>235</v>
      </c>
      <c r="R23" s="174" t="s">
        <v>236</v>
      </c>
      <c r="S23" s="174" t="s">
        <v>237</v>
      </c>
    </row>
    <row r="24" spans="2:25" ht="12.75" customHeight="1" x14ac:dyDescent="0.25">
      <c r="B24" s="180"/>
      <c r="C24" s="328" t="b">
        <f>IF(F4='Drop Down Lists'!B58,"Labor, Delivery &amp; Pick Up",IF(D11='Drop Down Lists'!B31,"Labor, Pick Up"))</f>
        <v>0</v>
      </c>
      <c r="D24" s="330"/>
      <c r="E24" s="311">
        <v>3</v>
      </c>
      <c r="F24" s="173" t="s">
        <v>289</v>
      </c>
      <c r="G24" s="160">
        <f>IF('Production Data'!G59='Drop Down Lists'!B42,'Production Data'!G60,0)</f>
        <v>10</v>
      </c>
      <c r="H24" s="158">
        <f>E24*G24</f>
        <v>30</v>
      </c>
      <c r="J24" s="324"/>
      <c r="K24" s="324"/>
      <c r="L24" s="324"/>
      <c r="M24" s="324"/>
      <c r="O24" s="352" t="s">
        <v>242</v>
      </c>
      <c r="P24" s="354"/>
      <c r="Q24" s="101">
        <f>R24-(R24*$Q$29)</f>
        <v>0.04</v>
      </c>
      <c r="R24" s="101">
        <v>0.05</v>
      </c>
      <c r="S24" s="101">
        <f>R24+(R24*$Q$29)</f>
        <v>6.0000000000000005E-2</v>
      </c>
    </row>
    <row r="25" spans="2:25" s="39" customFormat="1" ht="12.75" customHeight="1" x14ac:dyDescent="0.25">
      <c r="B25" s="362" t="s">
        <v>387</v>
      </c>
      <c r="C25" s="363"/>
      <c r="D25" s="363"/>
      <c r="E25" s="363"/>
      <c r="F25" s="363"/>
      <c r="G25" s="363"/>
      <c r="H25" s="364"/>
      <c r="J25" s="331"/>
      <c r="K25" s="333"/>
      <c r="L25" s="118" t="s">
        <v>243</v>
      </c>
      <c r="M25" s="118" t="s">
        <v>244</v>
      </c>
      <c r="N25" s="30"/>
      <c r="O25" s="352" t="s">
        <v>234</v>
      </c>
      <c r="P25" s="354"/>
      <c r="Q25" s="101">
        <f>R25-(R25*$Q$29)</f>
        <v>8.0000000000000002E-3</v>
      </c>
      <c r="R25" s="101">
        <v>0.01</v>
      </c>
      <c r="S25" s="101">
        <f>R25+(R25*$Q$29)</f>
        <v>1.2E-2</v>
      </c>
      <c r="T25" s="30"/>
    </row>
    <row r="26" spans="2:25" s="39" customFormat="1" ht="12.75" customHeight="1" x14ac:dyDescent="0.25">
      <c r="B26" s="116"/>
      <c r="C26" s="328" t="s">
        <v>281</v>
      </c>
      <c r="D26" s="330"/>
      <c r="E26" s="195">
        <f>E23</f>
        <v>100</v>
      </c>
      <c r="F26" s="173" t="s">
        <v>290</v>
      </c>
      <c r="G26" s="159">
        <f>G21/E20</f>
        <v>0.14864864864864866</v>
      </c>
      <c r="H26" s="158">
        <f>E26*G26</f>
        <v>14.864864864864865</v>
      </c>
      <c r="J26" s="372" t="s">
        <v>242</v>
      </c>
      <c r="K26" s="372"/>
      <c r="L26" s="307">
        <v>750</v>
      </c>
      <c r="M26" s="101">
        <f>L26/$L$23</f>
        <v>0.05</v>
      </c>
      <c r="N26" s="30"/>
      <c r="O26" s="352" t="s">
        <v>233</v>
      </c>
      <c r="P26" s="354"/>
      <c r="Q26" s="101">
        <f>R26-(R26*$Q$29)</f>
        <v>7.1999999999999995E-2</v>
      </c>
      <c r="R26" s="101">
        <v>0.09</v>
      </c>
      <c r="S26" s="101">
        <f>R26+(R26*$Q$29)</f>
        <v>0.108</v>
      </c>
      <c r="T26" s="30"/>
      <c r="U26" s="30"/>
      <c r="V26" s="30"/>
      <c r="W26" s="30"/>
    </row>
    <row r="27" spans="2:25" s="39" customFormat="1" ht="12.75" customHeight="1" x14ac:dyDescent="0.25">
      <c r="B27" s="116"/>
      <c r="C27" s="328" t="s">
        <v>282</v>
      </c>
      <c r="D27" s="330"/>
      <c r="E27" s="149">
        <f>E23</f>
        <v>100</v>
      </c>
      <c r="F27" s="173" t="s">
        <v>290</v>
      </c>
      <c r="G27" s="159">
        <f>H24/E23</f>
        <v>0.3</v>
      </c>
      <c r="H27" s="158">
        <f>E27*G27</f>
        <v>30</v>
      </c>
      <c r="J27" s="372" t="s">
        <v>234</v>
      </c>
      <c r="K27" s="372"/>
      <c r="L27" s="307">
        <v>500</v>
      </c>
      <c r="M27" s="101">
        <f>L27/$L$23</f>
        <v>3.3333333333333333E-2</v>
      </c>
      <c r="N27" s="30"/>
      <c r="O27" s="352" t="s">
        <v>3</v>
      </c>
      <c r="P27" s="354"/>
      <c r="Q27" s="103">
        <f>SUM(Q24:Q26)</f>
        <v>0.12</v>
      </c>
      <c r="R27" s="103">
        <f>SUM(R24:R26)</f>
        <v>0.15</v>
      </c>
      <c r="S27" s="103">
        <f>SUM(S24:S26)</f>
        <v>0.18</v>
      </c>
      <c r="T27" s="30"/>
      <c r="U27" s="30"/>
      <c r="V27" s="30"/>
      <c r="W27" s="30"/>
    </row>
    <row r="28" spans="2:25" s="39" customFormat="1" ht="12.75" customHeight="1" x14ac:dyDescent="0.25">
      <c r="B28" s="116"/>
      <c r="C28" s="328" t="s">
        <v>584</v>
      </c>
      <c r="D28" s="330"/>
      <c r="E28" s="195">
        <f>E23</f>
        <v>100</v>
      </c>
      <c r="F28" s="173" t="s">
        <v>290</v>
      </c>
      <c r="G28" s="293">
        <v>0.17</v>
      </c>
      <c r="H28" s="158">
        <f>E28*G28</f>
        <v>17</v>
      </c>
      <c r="J28" s="372" t="s">
        <v>233</v>
      </c>
      <c r="K28" s="372"/>
      <c r="L28" s="307">
        <v>1000</v>
      </c>
      <c r="M28" s="101">
        <f>L28/$L$23</f>
        <v>6.6666666666666666E-2</v>
      </c>
      <c r="N28" s="30"/>
      <c r="O28" s="327" t="s">
        <v>241</v>
      </c>
      <c r="P28" s="327"/>
      <c r="Q28" s="327"/>
      <c r="R28" s="327"/>
      <c r="S28" s="327"/>
      <c r="T28" s="30"/>
      <c r="U28" s="30"/>
      <c r="V28" s="30"/>
      <c r="W28" s="30"/>
    </row>
    <row r="29" spans="2:25" s="39" customFormat="1" ht="12.75" customHeight="1" x14ac:dyDescent="0.25">
      <c r="B29" s="372" t="s">
        <v>385</v>
      </c>
      <c r="C29" s="372"/>
      <c r="D29" s="372"/>
      <c r="E29" s="372"/>
      <c r="F29" s="372"/>
      <c r="G29" s="372"/>
      <c r="H29" s="158">
        <f>IF(Processing!$E$4='Drop Down Lists'!B52,0,IF(C58=C55,0,SUM(H26:H28)))</f>
        <v>0</v>
      </c>
      <c r="J29" s="372" t="s">
        <v>3</v>
      </c>
      <c r="K29" s="372"/>
      <c r="L29" s="372"/>
      <c r="M29" s="166">
        <f>SUM(M26:M28)</f>
        <v>0.15000000000000002</v>
      </c>
      <c r="N29" s="30"/>
      <c r="O29" s="392" t="s">
        <v>238</v>
      </c>
      <c r="P29" s="392"/>
      <c r="Q29" s="313">
        <v>0.2</v>
      </c>
      <c r="R29" s="30"/>
      <c r="S29" s="30"/>
      <c r="T29" s="30"/>
      <c r="U29" s="30"/>
      <c r="V29" s="30"/>
      <c r="W29" s="30"/>
    </row>
    <row r="30" spans="2:25" ht="12.75" hidden="1" customHeight="1" x14ac:dyDescent="0.25">
      <c r="B30" s="389" t="s">
        <v>391</v>
      </c>
      <c r="C30" s="390"/>
      <c r="D30" s="390"/>
      <c r="E30" s="390"/>
      <c r="F30" s="390"/>
      <c r="G30" s="391"/>
      <c r="H30" s="237">
        <f>(H26+H28)</f>
        <v>31.864864864864863</v>
      </c>
      <c r="J30" s="230" t="s">
        <v>322</v>
      </c>
    </row>
    <row r="31" spans="2:25" ht="12.75" customHeight="1" x14ac:dyDescent="0.25">
      <c r="B31" s="218" t="s">
        <v>393</v>
      </c>
      <c r="C31" s="219"/>
      <c r="D31" s="219"/>
      <c r="E31" s="219"/>
      <c r="F31" s="219"/>
      <c r="G31" s="220"/>
      <c r="H31" s="158">
        <f>IF(C58=C55,0,H29*'Production Data'!G5)</f>
        <v>0</v>
      </c>
      <c r="J31" s="36"/>
    </row>
    <row r="32" spans="2:25" ht="12.75" hidden="1" customHeight="1" x14ac:dyDescent="0.25">
      <c r="B32" s="381" t="s">
        <v>386</v>
      </c>
      <c r="C32" s="381"/>
      <c r="D32" s="381"/>
      <c r="E32" s="381"/>
      <c r="F32" s="381"/>
      <c r="G32" s="381"/>
      <c r="H32" s="151">
        <f>IF(C58=C55,0,H29/Processing!E5)</f>
        <v>0</v>
      </c>
      <c r="I32" s="102"/>
      <c r="N32" s="40"/>
      <c r="O32" s="40"/>
      <c r="P32" s="40"/>
      <c r="T32" s="175"/>
    </row>
    <row r="33" spans="2:20" ht="12.75" customHeight="1" x14ac:dyDescent="0.25">
      <c r="B33" s="331"/>
      <c r="C33" s="332"/>
      <c r="D33" s="332"/>
      <c r="E33" s="332"/>
      <c r="F33" s="332"/>
      <c r="G33" s="332"/>
      <c r="H33" s="333"/>
      <c r="I33" s="102"/>
      <c r="T33" s="175"/>
    </row>
    <row r="34" spans="2:20" x14ac:dyDescent="0.25">
      <c r="B34" s="324"/>
      <c r="C34" s="324"/>
      <c r="D34" s="324"/>
      <c r="E34" s="118" t="s">
        <v>284</v>
      </c>
      <c r="F34" s="118" t="s">
        <v>2</v>
      </c>
      <c r="G34" s="118" t="s">
        <v>285</v>
      </c>
      <c r="H34" s="118" t="s">
        <v>3</v>
      </c>
    </row>
    <row r="35" spans="2:20" x14ac:dyDescent="0.25">
      <c r="B35" s="362" t="s">
        <v>398</v>
      </c>
      <c r="C35" s="363"/>
      <c r="D35" s="363"/>
      <c r="E35" s="363"/>
      <c r="F35" s="363"/>
      <c r="G35" s="363"/>
      <c r="H35" s="364"/>
      <c r="T35" s="102"/>
    </row>
    <row r="36" spans="2:20" ht="12.75" customHeight="1" x14ac:dyDescent="0.25">
      <c r="B36" s="180"/>
      <c r="C36" s="328" t="s">
        <v>360</v>
      </c>
      <c r="D36" s="330"/>
      <c r="E36" s="303">
        <v>1500</v>
      </c>
      <c r="F36" s="173" t="s">
        <v>342</v>
      </c>
      <c r="G36" s="118"/>
      <c r="H36" s="118"/>
      <c r="J36" s="36" t="s">
        <v>358</v>
      </c>
      <c r="T36" s="102"/>
    </row>
    <row r="37" spans="2:20" ht="12.75" customHeight="1" x14ac:dyDescent="0.25">
      <c r="B37" s="180"/>
      <c r="C37" s="328" t="s">
        <v>606</v>
      </c>
      <c r="D37" s="330"/>
      <c r="E37" s="303">
        <v>50</v>
      </c>
      <c r="F37" s="173" t="s">
        <v>347</v>
      </c>
      <c r="G37" s="166">
        <f>IF('Production Data'!G59='Drop Down Lists'!B42,'Production Data'!G60,0)</f>
        <v>10</v>
      </c>
      <c r="H37" s="158">
        <f>E37*G37</f>
        <v>500</v>
      </c>
      <c r="I37" s="115"/>
    </row>
    <row r="38" spans="2:20" ht="12.75" customHeight="1" x14ac:dyDescent="0.25">
      <c r="B38" s="180"/>
      <c r="C38" s="328" t="s">
        <v>394</v>
      </c>
      <c r="D38" s="330"/>
      <c r="E38" s="314">
        <v>0.3</v>
      </c>
      <c r="F38" s="173"/>
      <c r="G38" s="118"/>
      <c r="H38" s="118"/>
      <c r="I38" s="115"/>
      <c r="J38" s="102"/>
      <c r="K38" s="102"/>
      <c r="L38" s="102"/>
      <c r="M38" s="102"/>
    </row>
    <row r="39" spans="2:20" ht="12.75" customHeight="1" x14ac:dyDescent="0.25">
      <c r="B39" s="362" t="s">
        <v>399</v>
      </c>
      <c r="C39" s="363"/>
      <c r="D39" s="363"/>
      <c r="E39" s="363"/>
      <c r="F39" s="363"/>
      <c r="G39" s="363"/>
      <c r="H39" s="364"/>
      <c r="I39" s="102"/>
    </row>
    <row r="40" spans="2:20" ht="12.75" customHeight="1" x14ac:dyDescent="0.25">
      <c r="B40" s="218"/>
      <c r="C40" s="328" t="s">
        <v>281</v>
      </c>
      <c r="D40" s="330"/>
      <c r="E40" s="195">
        <f>E36*E38</f>
        <v>450</v>
      </c>
      <c r="F40" s="173" t="s">
        <v>290</v>
      </c>
      <c r="G40" s="166">
        <f>G21/E20</f>
        <v>0.14864864864864866</v>
      </c>
      <c r="H40" s="158">
        <f>E40*G40</f>
        <v>66.891891891891902</v>
      </c>
      <c r="I40" s="102"/>
    </row>
    <row r="41" spans="2:20" x14ac:dyDescent="0.25">
      <c r="B41" s="116"/>
      <c r="C41" s="328" t="s">
        <v>282</v>
      </c>
      <c r="D41" s="330"/>
      <c r="E41" s="195">
        <f>E36*E38</f>
        <v>450</v>
      </c>
      <c r="F41" s="173" t="s">
        <v>290</v>
      </c>
      <c r="G41" s="166">
        <f>H37/E36</f>
        <v>0.33333333333333331</v>
      </c>
      <c r="H41" s="158">
        <f>E41*G41</f>
        <v>150</v>
      </c>
      <c r="J41" s="115"/>
    </row>
    <row r="42" spans="2:20" ht="12.75" customHeight="1" x14ac:dyDescent="0.25">
      <c r="B42" s="116"/>
      <c r="C42" s="328" t="s">
        <v>584</v>
      </c>
      <c r="D42" s="330"/>
      <c r="E42" s="195">
        <f>E36*E38</f>
        <v>450</v>
      </c>
      <c r="F42" s="173" t="s">
        <v>290</v>
      </c>
      <c r="G42" s="294">
        <v>0.17</v>
      </c>
      <c r="H42" s="158">
        <f>E42*G42</f>
        <v>76.5</v>
      </c>
      <c r="I42" s="107"/>
      <c r="J42" s="36" t="s">
        <v>581</v>
      </c>
    </row>
    <row r="43" spans="2:20" ht="12.75" customHeight="1" x14ac:dyDescent="0.25">
      <c r="B43" s="372" t="s">
        <v>395</v>
      </c>
      <c r="C43" s="372"/>
      <c r="D43" s="372"/>
      <c r="E43" s="372"/>
      <c r="F43" s="372"/>
      <c r="G43" s="372"/>
      <c r="H43" s="158">
        <f>SUM(H40:H42)</f>
        <v>293.39189189189187</v>
      </c>
      <c r="I43" s="104"/>
      <c r="J43" s="198"/>
    </row>
    <row r="44" spans="2:20" ht="12.75" customHeight="1" x14ac:dyDescent="0.25">
      <c r="B44" s="372" t="s">
        <v>396</v>
      </c>
      <c r="C44" s="372"/>
      <c r="D44" s="372"/>
      <c r="E44" s="372"/>
      <c r="F44" s="372"/>
      <c r="G44" s="372"/>
      <c r="H44" s="158">
        <f>H43/'Production Data'!G5</f>
        <v>73.347972972972968</v>
      </c>
      <c r="I44" s="104"/>
      <c r="J44" s="102"/>
      <c r="K44" s="102"/>
      <c r="L44" s="102"/>
      <c r="M44" s="102"/>
      <c r="N44" s="39"/>
    </row>
    <row r="45" spans="2:20" ht="12.75" hidden="1" customHeight="1" x14ac:dyDescent="0.25">
      <c r="B45" s="388" t="s">
        <v>400</v>
      </c>
      <c r="C45" s="388"/>
      <c r="D45" s="388"/>
      <c r="E45" s="388"/>
      <c r="F45" s="388"/>
      <c r="G45" s="388"/>
      <c r="H45" s="237">
        <f>(H40+H42)/'Production Data'!G5</f>
        <v>35.847972972972975</v>
      </c>
      <c r="I45" s="104"/>
      <c r="J45" s="230" t="s">
        <v>322</v>
      </c>
      <c r="K45" s="102"/>
      <c r="L45" s="102"/>
      <c r="M45" s="102"/>
      <c r="N45" s="39"/>
    </row>
    <row r="46" spans="2:20" ht="12.75" hidden="1" customHeight="1" x14ac:dyDescent="0.25">
      <c r="B46" s="372" t="s">
        <v>397</v>
      </c>
      <c r="C46" s="372"/>
      <c r="D46" s="372"/>
      <c r="E46" s="372"/>
      <c r="F46" s="372"/>
      <c r="G46" s="372"/>
      <c r="H46" s="166">
        <f>H44/Processing!E5</f>
        <v>0.33387413017569489</v>
      </c>
      <c r="N46" s="40"/>
    </row>
    <row r="47" spans="2:20" ht="12.75" customHeight="1" x14ac:dyDescent="0.25">
      <c r="B47" s="324"/>
      <c r="C47" s="324"/>
      <c r="D47" s="324"/>
      <c r="E47" s="324"/>
      <c r="F47" s="324"/>
      <c r="G47" s="324"/>
      <c r="H47" s="324"/>
      <c r="N47" s="102"/>
    </row>
    <row r="48" spans="2:20" ht="12.75" customHeight="1" x14ac:dyDescent="0.25">
      <c r="B48" s="369" t="str">
        <f>IF(Processing!$E$4='Drop Down Lists'!B52,"Total Marketing Transportation Costs per Batch","Total Processing &amp; Marketing Transportation Costs Per Batch")</f>
        <v>Total Processing &amp; Marketing Transportation Costs Per Batch</v>
      </c>
      <c r="C48" s="370"/>
      <c r="D48" s="370"/>
      <c r="E48" s="370"/>
      <c r="F48" s="370"/>
      <c r="G48" s="371"/>
      <c r="H48" s="153">
        <f>IF(F4='Drop Down Lists'!B58,H44+H29+H13,H13+H44)</f>
        <v>188.34797297297297</v>
      </c>
      <c r="N48" s="102"/>
    </row>
    <row r="49" spans="2:16" ht="12.75" customHeight="1" x14ac:dyDescent="0.25">
      <c r="B49" s="369" t="str">
        <f>IF(Processing!$E$4='Drop Down Lists'!B52,"Total Marketing Transportation Costs per Year","Total Processing &amp; Marketing Transportation Costs Per Year")</f>
        <v>Total Processing &amp; Marketing Transportation Costs Per Year</v>
      </c>
      <c r="C49" s="370"/>
      <c r="D49" s="370"/>
      <c r="E49" s="370"/>
      <c r="F49" s="370"/>
      <c r="G49" s="371"/>
      <c r="H49" s="153">
        <f>IF(F4='Drop Down Lists'!B58,H43+H31+H15,H15+H43)</f>
        <v>753.39189189189187</v>
      </c>
      <c r="J49" s="115"/>
    </row>
    <row r="50" spans="2:16" ht="12.75" hidden="1" customHeight="1" x14ac:dyDescent="0.25">
      <c r="B50" s="369" t="str">
        <f>IF(Processing!$E$4='Drop Down Lists'!B52,"Total Marketing Transportation Costs per Bird","Total Processing &amp; Marketing Transportation Costs Per Bird")</f>
        <v>Total Processing &amp; Marketing Transportation Costs Per Bird</v>
      </c>
      <c r="C50" s="370"/>
      <c r="D50" s="370"/>
      <c r="E50" s="370"/>
      <c r="F50" s="370"/>
      <c r="G50" s="371"/>
      <c r="H50" s="238">
        <f>IF(F4='Drop Down Lists'!B58,H46+H32+H16,H16+H46)</f>
        <v>0.8573449694360078</v>
      </c>
      <c r="J50" s="115"/>
    </row>
    <row r="51" spans="2:16" ht="12.75" customHeight="1" x14ac:dyDescent="0.25"/>
    <row r="52" spans="2:16" ht="12.75" customHeight="1" x14ac:dyDescent="0.25">
      <c r="H52" s="40"/>
    </row>
    <row r="53" spans="2:16" ht="12.75" customHeight="1" x14ac:dyDescent="0.25"/>
    <row r="54" spans="2:16" ht="12.75" hidden="1" customHeight="1" x14ac:dyDescent="0.25">
      <c r="I54" s="102" t="s">
        <v>403</v>
      </c>
      <c r="J54" s="30" t="s">
        <v>404</v>
      </c>
      <c r="L54" s="30" t="s">
        <v>405</v>
      </c>
      <c r="N54" s="30" t="s">
        <v>410</v>
      </c>
    </row>
    <row r="55" spans="2:16" ht="12.75" hidden="1" customHeight="1" x14ac:dyDescent="0.25">
      <c r="C55" s="217" t="str">
        <f>'Drop Down Lists'!B59&amp;'Drop Down Lists'!B30</f>
        <v>HiredEnter</v>
      </c>
      <c r="F55" s="231"/>
      <c r="G55" s="231"/>
      <c r="H55" s="272" t="s">
        <v>401</v>
      </c>
      <c r="I55" s="233">
        <f>H30+H45</f>
        <v>67.712837837837839</v>
      </c>
      <c r="J55" s="234">
        <f>IF(F5='Drop Down Lists'!B61,H10+H30+H45,H9+H30+H45)</f>
        <v>142.71283783783784</v>
      </c>
      <c r="K55" s="232"/>
      <c r="L55" s="233">
        <f>IF(F5='Drop Down Lists'!B61,H10+H12+H45,H9+H12+H45)</f>
        <v>150.84797297297297</v>
      </c>
      <c r="M55" s="232"/>
      <c r="N55" s="233">
        <f>(H40+H42)/'Production Data'!G5</f>
        <v>35.847972972972975</v>
      </c>
      <c r="O55" s="231" t="s">
        <v>406</v>
      </c>
      <c r="P55" s="231"/>
    </row>
    <row r="56" spans="2:16" ht="12.75" hidden="1" customHeight="1" x14ac:dyDescent="0.25">
      <c r="C56" s="217" t="str">
        <f>'Drop Down Lists'!B59&amp;'Drop Down Lists'!B31</f>
        <v>HiredCalculate</v>
      </c>
      <c r="F56" s="231"/>
      <c r="G56" s="231"/>
      <c r="H56" s="272" t="s">
        <v>402</v>
      </c>
      <c r="I56" s="232">
        <f>E24+((E37*E38)/'Production Data'!G5)</f>
        <v>6.75</v>
      </c>
      <c r="J56" s="232">
        <f>E24+((E37*E38)/'Production Data'!G5)</f>
        <v>6.75</v>
      </c>
      <c r="K56" s="232"/>
      <c r="L56" s="232">
        <f>(E37*E38)/'Production Data'!G5</f>
        <v>3.75</v>
      </c>
      <c r="M56" s="232"/>
      <c r="N56" s="232">
        <f>(E37*E38)/'Production Data'!G5</f>
        <v>3.75</v>
      </c>
      <c r="O56" s="231"/>
      <c r="P56" s="231"/>
    </row>
    <row r="57" spans="2:16" ht="12.75" hidden="1" customHeight="1" x14ac:dyDescent="0.25">
      <c r="H57" s="273" t="s">
        <v>561</v>
      </c>
      <c r="I57" s="102">
        <f>I56*'Production Data'!G60</f>
        <v>67.5</v>
      </c>
      <c r="J57" s="102">
        <f>J56*'Production Data'!G60</f>
        <v>67.5</v>
      </c>
      <c r="K57" s="102"/>
      <c r="L57" s="102">
        <f>L56*'Production Data'!G60</f>
        <v>37.5</v>
      </c>
      <c r="N57" s="102">
        <f>N56*'Production Data'!G60</f>
        <v>37.5</v>
      </c>
    </row>
    <row r="58" spans="2:16" ht="12.75" hidden="1" customHeight="1" x14ac:dyDescent="0.25">
      <c r="C58" s="217" t="str">
        <f>F4&amp;D11</f>
        <v>HiredEnter</v>
      </c>
      <c r="H58" s="273" t="s">
        <v>560</v>
      </c>
      <c r="I58" s="107">
        <f>I55+I57</f>
        <v>135.21283783783784</v>
      </c>
      <c r="J58" s="107">
        <f>J55+J57</f>
        <v>210.21283783783784</v>
      </c>
      <c r="K58" s="107"/>
      <c r="L58" s="107">
        <f t="shared" ref="L58" si="0">L55+L57</f>
        <v>188.34797297297297</v>
      </c>
      <c r="N58" s="107">
        <f>N55+N57</f>
        <v>73.347972972972968</v>
      </c>
    </row>
    <row r="59" spans="2:16" ht="12.75" customHeight="1" x14ac:dyDescent="0.25">
      <c r="H59" s="40"/>
    </row>
    <row r="60" spans="2:16" ht="12.75" customHeight="1" x14ac:dyDescent="0.25">
      <c r="H60" s="40"/>
    </row>
    <row r="61" spans="2:16" ht="12.75" customHeight="1" x14ac:dyDescent="0.25"/>
    <row r="62" spans="2:16" ht="12.75" customHeight="1" x14ac:dyDescent="0.25"/>
    <row r="63" spans="2:16" ht="12.75" customHeight="1" x14ac:dyDescent="0.25">
      <c r="B63" s="39"/>
      <c r="C63" s="39"/>
      <c r="D63" s="39"/>
      <c r="E63" s="39"/>
      <c r="F63" s="39"/>
      <c r="G63" s="39"/>
      <c r="H63" s="40"/>
    </row>
    <row r="64" spans="2:16" ht="12.75" customHeight="1" x14ac:dyDescent="0.25">
      <c r="B64" s="40"/>
      <c r="C64" s="40"/>
      <c r="D64" s="40"/>
      <c r="E64" s="40"/>
      <c r="F64" s="40"/>
      <c r="G64" s="40"/>
      <c r="H64" s="40"/>
    </row>
    <row r="65" spans="2:9" ht="12.75" customHeight="1" x14ac:dyDescent="0.25">
      <c r="B65" s="40"/>
      <c r="C65" s="102"/>
      <c r="D65" s="102"/>
      <c r="E65" s="102"/>
      <c r="F65" s="102"/>
      <c r="G65" s="102"/>
      <c r="H65" s="102"/>
      <c r="I65" s="188"/>
    </row>
    <row r="66" spans="2:9" ht="12.75" customHeight="1" x14ac:dyDescent="0.25">
      <c r="B66" s="40"/>
      <c r="C66" s="102"/>
      <c r="D66" s="102"/>
      <c r="E66" s="102"/>
      <c r="F66" s="102"/>
      <c r="G66" s="102"/>
      <c r="H66" s="102"/>
    </row>
    <row r="67" spans="2:9" ht="12.75" customHeight="1" x14ac:dyDescent="0.25">
      <c r="I67" s="127"/>
    </row>
    <row r="74" spans="2:9" x14ac:dyDescent="0.25">
      <c r="C74" s="55"/>
      <c r="G74" s="55"/>
    </row>
    <row r="76" spans="2:9" x14ac:dyDescent="0.25">
      <c r="B76" s="384"/>
      <c r="C76" s="384"/>
      <c r="D76" s="115"/>
      <c r="F76" s="188"/>
      <c r="H76" s="239"/>
    </row>
    <row r="78" spans="2:9" x14ac:dyDescent="0.25">
      <c r="H78" s="51"/>
    </row>
  </sheetData>
  <sheetProtection algorithmName="SHA-512" hashValue="vR4G2yHGzw20k9/g2Qf57sCDoKx0Jsl539HoLsxK8U/hkAEcLnWi7+SfNfcFVX/sJrnIo0C1c0ZMFqJC8yaK4A==" saltValue="f5U3tpno36r/uzrQ9B9c9w==" spinCount="100000" sheet="1" objects="1" scenarios="1" formatCells="0" formatColumns="0" formatRows="0"/>
  <mergeCells count="67">
    <mergeCell ref="J23:K23"/>
    <mergeCell ref="C23:D23"/>
    <mergeCell ref="F5:G5"/>
    <mergeCell ref="O29:P29"/>
    <mergeCell ref="C27:D27"/>
    <mergeCell ref="C26:D26"/>
    <mergeCell ref="O22:S22"/>
    <mergeCell ref="O28:S28"/>
    <mergeCell ref="O27:P27"/>
    <mergeCell ref="O26:P26"/>
    <mergeCell ref="O25:P25"/>
    <mergeCell ref="O24:P24"/>
    <mergeCell ref="O23:P23"/>
    <mergeCell ref="J22:M22"/>
    <mergeCell ref="J29:L29"/>
    <mergeCell ref="J28:K28"/>
    <mergeCell ref="J27:K27"/>
    <mergeCell ref="B30:G30"/>
    <mergeCell ref="J24:M24"/>
    <mergeCell ref="J25:K25"/>
    <mergeCell ref="J26:K26"/>
    <mergeCell ref="B2:H2"/>
    <mergeCell ref="B3:H3"/>
    <mergeCell ref="E19:H19"/>
    <mergeCell ref="B5:E5"/>
    <mergeCell ref="B4:E4"/>
    <mergeCell ref="F4:G4"/>
    <mergeCell ref="B19:D19"/>
    <mergeCell ref="B8:D8"/>
    <mergeCell ref="E8:H8"/>
    <mergeCell ref="B17:H17"/>
    <mergeCell ref="C12:D12"/>
    <mergeCell ref="B6:H6"/>
    <mergeCell ref="B7:D7"/>
    <mergeCell ref="B18:D18"/>
    <mergeCell ref="B14:G14"/>
    <mergeCell ref="B76:C76"/>
    <mergeCell ref="C10:D10"/>
    <mergeCell ref="C9:D9"/>
    <mergeCell ref="B16:G16"/>
    <mergeCell ref="B13:G13"/>
    <mergeCell ref="C24:D24"/>
    <mergeCell ref="C21:D21"/>
    <mergeCell ref="B32:G32"/>
    <mergeCell ref="B29:G29"/>
    <mergeCell ref="B33:H33"/>
    <mergeCell ref="C36:D36"/>
    <mergeCell ref="C38:D38"/>
    <mergeCell ref="B44:G44"/>
    <mergeCell ref="B43:G43"/>
    <mergeCell ref="B34:D34"/>
    <mergeCell ref="B45:G45"/>
    <mergeCell ref="B47:H47"/>
    <mergeCell ref="B50:G50"/>
    <mergeCell ref="B49:G49"/>
    <mergeCell ref="B48:G48"/>
    <mergeCell ref="B46:G46"/>
    <mergeCell ref="C20:D20"/>
    <mergeCell ref="B22:H22"/>
    <mergeCell ref="B25:H25"/>
    <mergeCell ref="B35:H35"/>
    <mergeCell ref="B39:H39"/>
    <mergeCell ref="C42:D42"/>
    <mergeCell ref="C28:D28"/>
    <mergeCell ref="C37:D37"/>
    <mergeCell ref="C41:D41"/>
    <mergeCell ref="C40:D40"/>
  </mergeCells>
  <conditionalFormatting sqref="E11:H11 J11 B22:H27 B28:C28 E28:H28 B29:H31">
    <cfRule type="expression" dxfId="25" priority="3">
      <formula>$C$58=$C$55</formula>
    </cfRule>
  </conditionalFormatting>
  <pageMargins left="0.7" right="0.7" top="0.75" bottom="0.75" header="0.3" footer="0.3"/>
  <pageSetup scale="90" orientation="landscape" horizontalDpi="4294967295" verticalDpi="4294967295" r:id="rId1"/>
  <legacyDrawing r:id="rId2"/>
  <extLst>
    <ext xmlns:x14="http://schemas.microsoft.com/office/spreadsheetml/2009/9/main" uri="{78C0D931-6437-407d-A8EE-F0AAD7539E65}">
      <x14:conditionalFormattings>
        <x14:conditionalFormatting xmlns:xm="http://schemas.microsoft.com/office/excel/2006/main">
          <x14:cfRule type="expression" priority="270" id="{57EE1559-7E79-4BB8-8A8E-CE6353EC7115}">
            <xm:f>$F$4='Drop Down Lists'!$B$58</xm:f>
            <x14:dxf>
              <font>
                <color theme="0"/>
              </font>
              <fill>
                <patternFill patternType="none">
                  <bgColor auto="1"/>
                </patternFill>
              </fill>
            </x14:dxf>
          </x14:cfRule>
          <xm:sqref>B5:G5 B7:H16 J7:J16</xm:sqref>
        </x14:conditionalFormatting>
        <x14:conditionalFormatting xmlns:xm="http://schemas.microsoft.com/office/excel/2006/main">
          <x14:cfRule type="expression" priority="248" id="{97453882-3B54-490D-9F1E-E4B55E477E2D}">
            <xm:f>Processing!$E$4='Drop Down Lists'!$B$52</xm:f>
            <x14:dxf>
              <font>
                <color theme="0"/>
              </font>
              <fill>
                <patternFill patternType="none">
                  <bgColor auto="1"/>
                </patternFill>
              </fill>
            </x14:dxf>
          </x14:cfRule>
          <xm:sqref>B4:H15 J8:J12 B22:H27 B28:C28 E28:H28 B29:H31</xm:sqref>
        </x14:conditionalFormatting>
        <x14:conditionalFormatting xmlns:xm="http://schemas.microsoft.com/office/excel/2006/main">
          <x14:cfRule type="expression" priority="273" id="{BBB706D9-8CA7-4507-92A1-FAD52A0D1851}">
            <xm:f>$F$5='Drop Down Lists'!$B$61</xm:f>
            <x14:dxf>
              <font>
                <color theme="0"/>
              </font>
            </x14:dxf>
          </x14:cfRule>
          <xm:sqref>C9:H9 J9</xm:sqref>
        </x14:conditionalFormatting>
        <x14:conditionalFormatting xmlns:xm="http://schemas.microsoft.com/office/excel/2006/main">
          <x14:cfRule type="expression" priority="275" id="{6318F847-6FC6-408F-9BE5-EC40C806F55B}">
            <xm:f>$F$5='Drop Down Lists'!$B$62</xm:f>
            <x14:dxf>
              <font>
                <color theme="0"/>
              </font>
            </x14:dxf>
          </x14:cfRule>
          <xm:sqref>C10:H10 J10</xm:sqref>
        </x14:conditionalFormatting>
        <x14:conditionalFormatting xmlns:xm="http://schemas.microsoft.com/office/excel/2006/main">
          <x14:cfRule type="expression" priority="220" id="{B3AC6608-DC47-4563-8EFC-7AA1586A5BEB}">
            <xm:f>$D$11='Drop Down Lists'!$B$31</xm:f>
            <x14:dxf>
              <font>
                <color theme="0"/>
              </font>
            </x14:dxf>
          </x14:cfRule>
          <xm:sqref>C12:H12 J12</xm:sqref>
        </x14:conditionalFormatting>
        <x14:conditionalFormatting xmlns:xm="http://schemas.microsoft.com/office/excel/2006/main">
          <x14:cfRule type="expression" priority="251" id="{8BEF0AAC-C3D0-414A-A34A-AFB53873E9FC}">
            <xm:f>Processing!$E$4='Drop Down Lists'!$B$51</xm:f>
            <x14:dxf>
              <font>
                <color theme="0"/>
              </font>
            </x14:dxf>
          </x14:cfRule>
          <x14:cfRule type="expression" priority="252" id="{FFA520EF-12F5-4FEE-883E-AE977482D110}">
            <xm:f>Processing!$E$4='Drop Down Lists'!$B$50</xm:f>
            <x14:dxf>
              <font>
                <color theme="0"/>
              </font>
            </x14:dxf>
          </x14:cfRule>
          <xm:sqref>J5:J6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'Drop Down Lists'!$B$58:$B$59</xm:f>
          </x14:formula1>
          <xm:sqref>F4:G4</xm:sqref>
        </x14:dataValidation>
        <x14:dataValidation type="list" allowBlank="1" showInputMessage="1" showErrorMessage="1" xr:uid="{00000000-0002-0000-0300-000001000000}">
          <x14:formula1>
            <xm:f>'Drop Down Lists'!$B$61:$B$62</xm:f>
          </x14:formula1>
          <xm:sqref>F5:G5</xm:sqref>
        </x14:dataValidation>
        <x14:dataValidation type="list" allowBlank="1" showInputMessage="1" showErrorMessage="1" xr:uid="{00000000-0002-0000-0300-000002000000}">
          <x14:formula1>
            <xm:f>'Drop Down Lists'!$B$30:$B$31</xm:f>
          </x14:formula1>
          <xm:sqref>D11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2:AM59"/>
  <sheetViews>
    <sheetView showGridLines="0" zoomScaleNormal="100" workbookViewId="0">
      <selection activeCell="J11" sqref="J11:K11"/>
    </sheetView>
  </sheetViews>
  <sheetFormatPr defaultColWidth="8.85546875" defaultRowHeight="12.75" x14ac:dyDescent="0.25"/>
  <cols>
    <col min="1" max="1" width="5.28515625" style="30" customWidth="1"/>
    <col min="2" max="2" width="25.7109375" style="30" customWidth="1"/>
    <col min="3" max="3" width="11.5703125" style="30" customWidth="1"/>
    <col min="4" max="4" width="13.28515625" style="30" customWidth="1"/>
    <col min="5" max="6" width="11.42578125" style="30" customWidth="1"/>
    <col min="7" max="7" width="11.85546875" style="30" customWidth="1"/>
    <col min="8" max="8" width="11.42578125" style="30" customWidth="1"/>
    <col min="9" max="9" width="10.7109375" style="30" customWidth="1"/>
    <col min="10" max="10" width="12.5703125" style="30" customWidth="1"/>
    <col min="11" max="11" width="10.7109375" style="30" customWidth="1"/>
    <col min="12" max="12" width="16.85546875" style="30" customWidth="1"/>
    <col min="13" max="13" width="17" style="30" customWidth="1"/>
    <col min="14" max="14" width="5.28515625" style="30" customWidth="1"/>
    <col min="15" max="36" width="8.85546875" style="30"/>
    <col min="37" max="37" width="11" style="30" hidden="1" customWidth="1"/>
    <col min="38" max="39" width="9.28515625" style="30" hidden="1" customWidth="1"/>
    <col min="40" max="16384" width="8.85546875" style="30"/>
  </cols>
  <sheetData>
    <row r="2" spans="2:39" ht="15.75" x14ac:dyDescent="0.25">
      <c r="B2" s="380" t="s">
        <v>432</v>
      </c>
      <c r="C2" s="380"/>
      <c r="D2" s="380"/>
      <c r="E2" s="380"/>
      <c r="F2" s="380"/>
      <c r="G2" s="380"/>
      <c r="H2" s="380"/>
      <c r="I2" s="380"/>
      <c r="J2" s="380"/>
      <c r="K2" s="380"/>
      <c r="L2" s="380"/>
      <c r="M2" s="380"/>
      <c r="AK2" s="129"/>
      <c r="AL2" s="129"/>
      <c r="AM2" s="129"/>
    </row>
    <row r="3" spans="2:39" ht="12.75" customHeight="1" x14ac:dyDescent="0.25">
      <c r="B3" s="328"/>
      <c r="C3" s="329"/>
      <c r="D3" s="329"/>
      <c r="E3" s="329"/>
      <c r="F3" s="329"/>
      <c r="G3" s="329"/>
      <c r="H3" s="329"/>
      <c r="I3" s="329"/>
      <c r="J3" s="329"/>
      <c r="K3" s="329"/>
      <c r="L3" s="329"/>
      <c r="M3" s="330"/>
      <c r="O3" s="148" t="s">
        <v>217</v>
      </c>
      <c r="P3" s="146"/>
      <c r="Q3" s="146"/>
      <c r="R3" s="146"/>
      <c r="S3" s="146"/>
      <c r="T3" s="146"/>
      <c r="U3" s="146"/>
      <c r="V3" s="146"/>
    </row>
    <row r="4" spans="2:39" ht="12.75" customHeight="1" x14ac:dyDescent="0.25">
      <c r="B4" s="327" t="s">
        <v>232</v>
      </c>
      <c r="C4" s="327"/>
      <c r="D4" s="327"/>
      <c r="E4" s="327"/>
      <c r="F4" s="340" t="s">
        <v>228</v>
      </c>
      <c r="G4" s="341"/>
      <c r="H4" s="116"/>
      <c r="I4" s="125"/>
      <c r="J4" s="125"/>
      <c r="K4" s="125"/>
      <c r="L4" s="125"/>
      <c r="M4" s="116"/>
      <c r="O4" s="36"/>
    </row>
    <row r="5" spans="2:39" ht="12.75" customHeight="1" x14ac:dyDescent="0.25">
      <c r="B5" s="327" t="s">
        <v>251</v>
      </c>
      <c r="C5" s="327"/>
      <c r="D5" s="327"/>
      <c r="E5" s="327"/>
      <c r="F5" s="340" t="s">
        <v>227</v>
      </c>
      <c r="G5" s="341"/>
      <c r="H5" s="116"/>
      <c r="I5" s="125"/>
      <c r="J5" s="125"/>
      <c r="K5" s="125"/>
      <c r="L5" s="125"/>
      <c r="M5" s="116"/>
      <c r="O5" s="36"/>
    </row>
    <row r="6" spans="2:39" ht="12.75" customHeight="1" x14ac:dyDescent="0.25">
      <c r="B6" s="327" t="s">
        <v>249</v>
      </c>
      <c r="C6" s="327"/>
      <c r="D6" s="327"/>
      <c r="E6" s="327"/>
      <c r="F6" s="340" t="s">
        <v>14</v>
      </c>
      <c r="G6" s="341"/>
      <c r="H6" s="116"/>
      <c r="I6" s="125"/>
      <c r="J6" s="125"/>
      <c r="K6" s="125"/>
      <c r="L6" s="125"/>
      <c r="M6" s="116"/>
      <c r="O6" s="36"/>
    </row>
    <row r="7" spans="2:39" ht="12.75" customHeight="1" x14ac:dyDescent="0.25">
      <c r="B7" s="327" t="s">
        <v>280</v>
      </c>
      <c r="C7" s="327"/>
      <c r="D7" s="327"/>
      <c r="E7" s="327"/>
      <c r="F7" s="402">
        <v>0.03</v>
      </c>
      <c r="G7" s="403"/>
      <c r="H7" s="116"/>
      <c r="I7" s="125"/>
      <c r="J7" s="125"/>
      <c r="K7" s="125"/>
      <c r="L7" s="125"/>
      <c r="M7" s="116"/>
      <c r="O7" s="36"/>
    </row>
    <row r="8" spans="2:39" ht="12.75" customHeight="1" x14ac:dyDescent="0.25">
      <c r="B8" s="399"/>
      <c r="C8" s="400"/>
      <c r="D8" s="400"/>
      <c r="E8" s="400"/>
      <c r="F8" s="400"/>
      <c r="G8" s="400"/>
      <c r="H8" s="400"/>
      <c r="I8" s="400"/>
      <c r="J8" s="400"/>
      <c r="K8" s="400"/>
      <c r="L8" s="400"/>
      <c r="M8" s="401"/>
      <c r="O8" s="36"/>
      <c r="AK8" s="108"/>
      <c r="AL8" s="175"/>
      <c r="AM8" s="175"/>
    </row>
    <row r="9" spans="2:39" ht="39.75" customHeight="1" x14ac:dyDescent="0.25">
      <c r="B9" s="126"/>
      <c r="C9" s="172" t="s">
        <v>219</v>
      </c>
      <c r="D9" s="172" t="s">
        <v>226</v>
      </c>
      <c r="E9" s="172" t="s">
        <v>246</v>
      </c>
      <c r="F9" s="172" t="s">
        <v>625</v>
      </c>
      <c r="G9" s="172" t="s">
        <v>220</v>
      </c>
      <c r="H9" s="172" t="s">
        <v>247</v>
      </c>
      <c r="I9" s="172" t="s">
        <v>248</v>
      </c>
      <c r="J9" s="172" t="s">
        <v>254</v>
      </c>
      <c r="K9" s="172" t="s">
        <v>255</v>
      </c>
      <c r="L9" s="172" t="s">
        <v>296</v>
      </c>
      <c r="M9" s="172" t="s">
        <v>297</v>
      </c>
      <c r="O9" s="36"/>
      <c r="AK9" s="108"/>
      <c r="AL9" s="175"/>
      <c r="AM9" s="175"/>
    </row>
    <row r="10" spans="2:39" ht="12.75" customHeight="1" x14ac:dyDescent="0.25">
      <c r="B10" s="181" t="s">
        <v>143</v>
      </c>
      <c r="C10" s="393"/>
      <c r="D10" s="394"/>
      <c r="E10" s="394"/>
      <c r="F10" s="394"/>
      <c r="G10" s="394"/>
      <c r="H10" s="394"/>
      <c r="I10" s="394"/>
      <c r="J10" s="394"/>
      <c r="K10" s="394"/>
      <c r="L10" s="394"/>
      <c r="M10" s="395"/>
      <c r="O10" s="36"/>
      <c r="AK10" s="109" t="s">
        <v>98</v>
      </c>
      <c r="AL10" s="109" t="s">
        <v>100</v>
      </c>
    </row>
    <row r="11" spans="2:39" ht="12.75" customHeight="1" x14ac:dyDescent="0.25">
      <c r="B11" s="116" t="s">
        <v>17</v>
      </c>
      <c r="C11" s="308">
        <v>200</v>
      </c>
      <c r="D11" s="149">
        <f>ROUNDUP(Summary!$F$5/AK11,0)</f>
        <v>1</v>
      </c>
      <c r="E11" s="315">
        <v>1</v>
      </c>
      <c r="F11" s="314">
        <v>1</v>
      </c>
      <c r="G11" s="135">
        <f>IF($F$4='Drop Down Lists'!$B$64,C11*D11*F11,C11*E11*F11)</f>
        <v>200</v>
      </c>
      <c r="H11" s="118">
        <v>15</v>
      </c>
      <c r="I11" s="303">
        <v>10</v>
      </c>
      <c r="J11" s="150">
        <f>IF($F$5='Drop Down Lists'!$B$64,(G11/H11),(G11/I11))</f>
        <v>13.333333333333334</v>
      </c>
      <c r="K11" s="151">
        <f>IF($F$6='Drop Down Lists'!$B$42,IF($F$5='Drop Down Lists'!$B$65,-PMT($F$7,I11,G11,0)-J11,-PMT($F$7,H11,G11,0)-J11),0)</f>
        <v>3.419982759124272</v>
      </c>
      <c r="L11" s="150">
        <f>J11+K11</f>
        <v>16.753316092457606</v>
      </c>
      <c r="M11" s="158">
        <f>L11/Summary!$F$6</f>
        <v>4.1883290231144015</v>
      </c>
      <c r="O11" s="36" t="s">
        <v>223</v>
      </c>
      <c r="AK11" s="110">
        <f>Summary!$F$5</f>
        <v>250</v>
      </c>
      <c r="AL11" s="93">
        <f>Summary!$F$6</f>
        <v>4</v>
      </c>
    </row>
    <row r="12" spans="2:39" ht="12.75" customHeight="1" x14ac:dyDescent="0.25">
      <c r="B12" s="116" t="s">
        <v>18</v>
      </c>
      <c r="C12" s="308">
        <v>800</v>
      </c>
      <c r="D12" s="149">
        <f>ROUNDUP((Summary!$F$5*(1-Summary!$F$7))/AK12,0)</f>
        <v>1</v>
      </c>
      <c r="E12" s="315">
        <v>1</v>
      </c>
      <c r="F12" s="314">
        <v>1</v>
      </c>
      <c r="G12" s="135">
        <f>IF('Production Data'!G23='Drop Down Lists'!B20,0,IF($F$4='Drop Down Lists'!$B$64,C12*D12*F12,C12*E12*F12))</f>
        <v>0</v>
      </c>
      <c r="H12" s="118">
        <v>15</v>
      </c>
      <c r="I12" s="303">
        <v>10</v>
      </c>
      <c r="J12" s="150">
        <f>IF($F$5='Drop Down Lists'!$B$64,(G12/H12),(G12/I12))</f>
        <v>0</v>
      </c>
      <c r="K12" s="151">
        <f>IF($F$6='Drop Down Lists'!$B$42,IF($F$5='Drop Down Lists'!$B$65,-PMT($F$7,I12,G12,0)-J12,-PMT($F$7,H12,G12,0)-J12),0)</f>
        <v>0</v>
      </c>
      <c r="L12" s="150">
        <f>J12+K12</f>
        <v>0</v>
      </c>
      <c r="M12" s="158">
        <f>L12/Summary!$F$6</f>
        <v>0</v>
      </c>
      <c r="O12" s="36" t="s">
        <v>222</v>
      </c>
      <c r="S12" s="97"/>
      <c r="T12" s="97"/>
      <c r="AK12" s="112">
        <f>Summary!F5*(1-Summary!F7)</f>
        <v>237.5</v>
      </c>
      <c r="AL12" s="55">
        <f>Summary!$F$6</f>
        <v>4</v>
      </c>
    </row>
    <row r="13" spans="2:39" ht="12.75" customHeight="1" x14ac:dyDescent="0.25">
      <c r="B13" s="116" t="s">
        <v>19</v>
      </c>
      <c r="C13" s="308">
        <v>350</v>
      </c>
      <c r="D13" s="149">
        <f>ROUNDUP((Summary!$F$5*(1-Summary!$F$7))/AK13,0)</f>
        <v>5</v>
      </c>
      <c r="E13" s="315">
        <v>5</v>
      </c>
      <c r="F13" s="314">
        <v>1</v>
      </c>
      <c r="G13" s="135">
        <f>IF('Production Data'!G23='Drop Down Lists'!B19,0,IF('Production Data'!G24='Drop Down Lists'!B23,0,IF($F$4='Drop Down Lists'!$B$64,C13*D13*F13,C13*E13*F13)))</f>
        <v>1750</v>
      </c>
      <c r="H13" s="118">
        <v>10</v>
      </c>
      <c r="I13" s="303">
        <v>10</v>
      </c>
      <c r="J13" s="150">
        <f>IF($F$5='Drop Down Lists'!$B$64,(G13/H13),(G13/I13))</f>
        <v>175</v>
      </c>
      <c r="K13" s="151">
        <f>IF($F$6='Drop Down Lists'!$B$42,IF($F$5='Drop Down Lists'!$B$65,-PMT($F$7,I13,G13,0)-J13,-PMT($F$7,H13,G13,0)-J13),0)</f>
        <v>30.153386559029286</v>
      </c>
      <c r="L13" s="150">
        <f>J13+K13</f>
        <v>205.15338655902929</v>
      </c>
      <c r="M13" s="158">
        <f>L13/Summary!$F$6</f>
        <v>51.288346639757322</v>
      </c>
      <c r="O13" s="36" t="str">
        <f>"Stocking rate of "&amp;AK13&amp;" broilers per hoop house. Construction and details can be found here: http://www2.ca.uky.edu/agc/pubs/ASC/ASC189/ASC189.pdf"</f>
        <v>Stocking rate of 50 broilers per hoop house. Construction and details can be found here: http://www2.ca.uky.edu/agc/pubs/ASC/ASC189/ASC189.pdf</v>
      </c>
      <c r="S13" s="97"/>
      <c r="T13" s="97"/>
      <c r="AK13" s="96">
        <v>50</v>
      </c>
      <c r="AL13" s="55">
        <f>Summary!$F$6</f>
        <v>4</v>
      </c>
    </row>
    <row r="14" spans="2:39" ht="12.75" customHeight="1" x14ac:dyDescent="0.25">
      <c r="B14" s="116" t="s">
        <v>115</v>
      </c>
      <c r="C14" s="308">
        <v>1000</v>
      </c>
      <c r="D14" s="149">
        <f>ROUNDUP((Summary!$F$5*(1-Summary!$F$7))/AK14,0)</f>
        <v>1</v>
      </c>
      <c r="E14" s="315">
        <v>1</v>
      </c>
      <c r="F14" s="314">
        <v>1</v>
      </c>
      <c r="G14" s="135">
        <f>IF('Production Data'!G23='Drop Down Lists'!B19,0,IF('Production Data'!G24='Drop Down Lists'!B22,0,IF($F$4='Drop Down Lists'!$B$64,C14*D14*F14,C14*E14*F14)))</f>
        <v>0</v>
      </c>
      <c r="H14" s="118">
        <v>15</v>
      </c>
      <c r="I14" s="303">
        <v>15</v>
      </c>
      <c r="J14" s="150">
        <f>IF($F$5='Drop Down Lists'!$B$64,(G14/H14),(G14/I14))</f>
        <v>0</v>
      </c>
      <c r="K14" s="151">
        <f>IF($F$6='Drop Down Lists'!$B$42,IF($F$5='Drop Down Lists'!$B$65,-PMT($F$7,I14,G14,0)-J14,-PMT($F$7,H14,G14,0)-J14),0)</f>
        <v>0</v>
      </c>
      <c r="L14" s="150">
        <f>J14+K14</f>
        <v>0</v>
      </c>
      <c r="M14" s="158">
        <f>L14/Summary!$F$6</f>
        <v>0</v>
      </c>
      <c r="O14" s="36"/>
      <c r="S14" s="97"/>
      <c r="T14" s="97"/>
      <c r="AK14" s="112">
        <f>Summary!F5*(1-Summary!F7)</f>
        <v>237.5</v>
      </c>
      <c r="AL14" s="55">
        <f>Summary!$F$6</f>
        <v>4</v>
      </c>
    </row>
    <row r="15" spans="2:39" ht="12.75" customHeight="1" x14ac:dyDescent="0.25">
      <c r="B15" s="116" t="s">
        <v>294</v>
      </c>
      <c r="C15" s="308">
        <v>250</v>
      </c>
      <c r="D15" s="149">
        <f>ROUNDUP((Summary!$F$5*(1-Summary!$F$7))/AK15,0)</f>
        <v>1</v>
      </c>
      <c r="E15" s="315">
        <v>1</v>
      </c>
      <c r="F15" s="314">
        <v>1</v>
      </c>
      <c r="G15" s="135">
        <f>IF('Production Data'!G23='Drop Down Lists'!B20,0,IF('Production Data'!G26='Drop Down Lists'!B26,0,IF('Production Data'!G26='Drop Down Lists'!B25,0,IF($F$4='Drop Down Lists'!$B$64,C15*D15*F15,C15*E15*F15))))</f>
        <v>0</v>
      </c>
      <c r="H15" s="118">
        <v>10</v>
      </c>
      <c r="I15" s="303">
        <v>7</v>
      </c>
      <c r="J15" s="150">
        <f>IF('Production Data'!G26='Drop Down Lists'!B26,0,IF('Production Data'!G26='Drop Down Lists'!B25,0,IF($F$5='Drop Down Lists'!$B$64,(G15/H15),(G15/I15))))</f>
        <v>0</v>
      </c>
      <c r="K15" s="151">
        <f>IF($F$6='Drop Down Lists'!$B$42,IF($F$5='Drop Down Lists'!$B$65,-PMT($F$7,I15,G15,0)-J15,-PMT($F$7,H15,G15,0)-J15),0)</f>
        <v>0</v>
      </c>
      <c r="L15" s="150">
        <f>IF('Production Data'!G26='Drop Down Lists'!B26,0,IF('Production Data'!G26='Drop Down Lists'!B25,0,J15+K15))</f>
        <v>0</v>
      </c>
      <c r="M15" s="158">
        <f>L15/Summary!$F$6</f>
        <v>0</v>
      </c>
      <c r="O15" s="36"/>
      <c r="S15" s="97"/>
      <c r="T15" s="97"/>
      <c r="AK15" s="112">
        <f>Summary!F5*(1-Summary!F7)</f>
        <v>237.5</v>
      </c>
      <c r="AL15" s="55">
        <f>Summary!$F$6</f>
        <v>4</v>
      </c>
    </row>
    <row r="16" spans="2:39" ht="12.75" customHeight="1" x14ac:dyDescent="0.25">
      <c r="B16" s="116" t="s">
        <v>295</v>
      </c>
      <c r="C16" s="308">
        <v>160</v>
      </c>
      <c r="D16" s="149">
        <f>ROUNDUP((Summary!$F$5*(1-Summary!$F$7))/AK16,0)</f>
        <v>4</v>
      </c>
      <c r="E16" s="315">
        <v>3</v>
      </c>
      <c r="F16" s="314">
        <v>0.8</v>
      </c>
      <c r="G16" s="135">
        <f>IF('Production Data'!G26='Drop Down Lists'!B27,0,IF('Production Data'!G26='Drop Down Lists'!B25,0,IF($F$4='Drop Down Lists'!$B$64,C16*D16*F16,C16*E16*F16)))</f>
        <v>384</v>
      </c>
      <c r="H16" s="118">
        <v>7</v>
      </c>
      <c r="I16" s="303">
        <v>7</v>
      </c>
      <c r="J16" s="150">
        <f>IF('Production Data'!G26='Drop Down Lists'!B27,0,IF('Production Data'!G26='Drop Down Lists'!B25,0,IF($F$5='Drop Down Lists'!$B$64,(G16/H16),(G16/I16))))</f>
        <v>54.857142857142854</v>
      </c>
      <c r="K16" s="151">
        <f>IF($F$6='Drop Down Lists'!$B$42,IF($F$5='Drop Down Lists'!$B$65,-PMT($F$7,I16,G16,0)-J16,-PMT($F$7,H16,G16,0)-J16),0)</f>
        <v>6.7772969844975748</v>
      </c>
      <c r="L16" s="150">
        <f>IF('Production Data'!G26='Drop Down Lists'!B27,0,IF('Production Data'!G26='Drop Down Lists'!B25,0,J16+K16))</f>
        <v>61.634439841640429</v>
      </c>
      <c r="M16" s="158">
        <f>L16/Summary!$F$6</f>
        <v>15.408609960410107</v>
      </c>
      <c r="O16" s="36" t="str">
        <f>"This is strictly for the rolls of poly netting. The stocking rate for a 164 ft roll has been suggested to be "&amp;AK16&amp;" birds per roll. "</f>
        <v xml:space="preserve">This is strictly for the rolls of poly netting. The stocking rate for a 164 ft roll has been suggested to be 75 birds per roll. </v>
      </c>
      <c r="S16" s="97"/>
      <c r="T16" s="97"/>
      <c r="AK16" s="55">
        <v>75</v>
      </c>
      <c r="AL16" s="55">
        <f>Summary!$F$6</f>
        <v>4</v>
      </c>
    </row>
    <row r="17" spans="2:38" ht="12.75" customHeight="1" x14ac:dyDescent="0.25">
      <c r="B17" s="116" t="s">
        <v>207</v>
      </c>
      <c r="C17" s="308">
        <v>150</v>
      </c>
      <c r="D17" s="149">
        <f>ROUNDUP((Summary!$F$5*(1-Summary!$F$7))/AK17,0)</f>
        <v>1</v>
      </c>
      <c r="E17" s="315">
        <v>1</v>
      </c>
      <c r="F17" s="314">
        <v>0.8</v>
      </c>
      <c r="G17" s="135">
        <f>IF('Production Data'!G26='Drop Down Lists'!B25,0,IF($F$4='Drop Down Lists'!$B$64,C17*D17*F17,C17*E17*F17))</f>
        <v>120</v>
      </c>
      <c r="H17" s="118">
        <v>7</v>
      </c>
      <c r="I17" s="303">
        <v>7</v>
      </c>
      <c r="J17" s="150">
        <f>IF('Production Data'!G26='Drop Down Lists'!B25,0,IF($F$5='Drop Down Lists'!$B$64,(G17/H17),(G17/I17)))</f>
        <v>17.142857142857142</v>
      </c>
      <c r="K17" s="151">
        <f>IF($F$6='Drop Down Lists'!$B$42,IF($F$5='Drop Down Lists'!$B$65,-PMT($F$7,I17,G17,0)-J17,-PMT($F$7,H17,G17,0)-J17),0)</f>
        <v>2.1179053076554943</v>
      </c>
      <c r="L17" s="150">
        <f>IF('Production Data'!G26='Drop Down Lists'!B25,0,J17+K17)</f>
        <v>19.260762450512637</v>
      </c>
      <c r="M17" s="158">
        <f>L17/Summary!$F$6</f>
        <v>4.8151906126281592</v>
      </c>
      <c r="O17" s="36" t="s">
        <v>224</v>
      </c>
      <c r="S17" s="97"/>
      <c r="T17" s="97"/>
      <c r="AK17" s="112">
        <f>Summary!F5*(1-Summary!F7)</f>
        <v>237.5</v>
      </c>
      <c r="AL17" s="55">
        <f>Summary!$F$6</f>
        <v>4</v>
      </c>
    </row>
    <row r="18" spans="2:38" ht="12.75" customHeight="1" x14ac:dyDescent="0.25">
      <c r="B18" s="116" t="s">
        <v>133</v>
      </c>
      <c r="C18" s="308">
        <v>600</v>
      </c>
      <c r="D18" s="149">
        <f>ROUNDUP((Summary!$F$5*(1-Summary!$F$7))/AK18,0)</f>
        <v>1</v>
      </c>
      <c r="E18" s="315">
        <v>0</v>
      </c>
      <c r="F18" s="314">
        <v>1</v>
      </c>
      <c r="G18" s="135">
        <f>IF('Production Data'!G34='Drop Down Lists'!B36,0,IF($F$4='Drop Down Lists'!$B$64,C18*D18*F18,C18*E18*F18))</f>
        <v>0</v>
      </c>
      <c r="H18" s="118">
        <v>15</v>
      </c>
      <c r="I18" s="303">
        <v>15</v>
      </c>
      <c r="J18" s="150">
        <f>IF('Production Data'!G34='Drop Down Lists'!B35,IF($F$5='Drop Down Lists'!$B$64,(G18/H18),(G18/I18)),0)</f>
        <v>0</v>
      </c>
      <c r="K18" s="151">
        <f>IF($F$6='Drop Down Lists'!$B$42,IF($F$5='Drop Down Lists'!$B$65,-PMT($F$7,I18,G18,0)-J18,-PMT($F$7,H18,G18,0)-J18),0)</f>
        <v>0</v>
      </c>
      <c r="L18" s="150">
        <f>IF('Production Data'!G34='Drop Down Lists'!B36,0,J18+K18)</f>
        <v>0</v>
      </c>
      <c r="M18" s="158">
        <f>L18/Summary!$F$6</f>
        <v>0</v>
      </c>
      <c r="O18" s="36" t="s">
        <v>302</v>
      </c>
      <c r="S18" s="97"/>
      <c r="T18" s="97"/>
      <c r="AK18" s="112">
        <f>Summary!F5*(1-Summary!F7)</f>
        <v>237.5</v>
      </c>
      <c r="AL18" s="55">
        <f>Summary!$F$6</f>
        <v>4</v>
      </c>
    </row>
    <row r="19" spans="2:38" ht="12.75" customHeight="1" x14ac:dyDescent="0.25">
      <c r="B19" s="116" t="s">
        <v>134</v>
      </c>
      <c r="C19" s="308">
        <v>500</v>
      </c>
      <c r="D19" s="149">
        <f>ROUNDUP(Summary!F9/AK19,0)</f>
        <v>1</v>
      </c>
      <c r="E19" s="315">
        <v>2</v>
      </c>
      <c r="F19" s="314">
        <v>1</v>
      </c>
      <c r="G19" s="135">
        <f>IF('Production Data'!G65='Drop Down Lists'!B47,0,IF($F$4='Drop Down Lists'!$B$64,C19*D19*F19,C19*E19*F19))</f>
        <v>0</v>
      </c>
      <c r="H19" s="118">
        <v>15</v>
      </c>
      <c r="I19" s="303">
        <v>10</v>
      </c>
      <c r="J19" s="150">
        <f>IF('Production Data'!G65='Drop Down Lists'!B47,0,IF($F$5='Drop Down Lists'!$B$64,(G19/H19),(G19/I19)))</f>
        <v>0</v>
      </c>
      <c r="K19" s="151">
        <f>IF($F$6='Drop Down Lists'!$B$42,IF($F$5='Drop Down Lists'!$B$65,-PMT($F$7,I19,G19,0)-J19,-PMT($F$7,H19,G19,0)-J19),0)</f>
        <v>0</v>
      </c>
      <c r="L19" s="150">
        <f>IF('Production Data'!G65='Drop Down Lists'!B47,0,J19+K19)</f>
        <v>0</v>
      </c>
      <c r="M19" s="158">
        <f>L19/Summary!$F$6</f>
        <v>0</v>
      </c>
      <c r="O19" s="36"/>
      <c r="S19" s="97"/>
      <c r="T19" s="97"/>
      <c r="AK19" s="112">
        <f>Summary!F9</f>
        <v>219.6875</v>
      </c>
      <c r="AL19" s="55">
        <f>Summary!$F$6</f>
        <v>4</v>
      </c>
    </row>
    <row r="20" spans="2:38" ht="12.75" customHeight="1" x14ac:dyDescent="0.25">
      <c r="B20" s="116" t="s">
        <v>135</v>
      </c>
      <c r="C20" s="308">
        <v>450</v>
      </c>
      <c r="D20" s="149">
        <f>ROUNDUP(Summary!F9/AK20,0)</f>
        <v>1</v>
      </c>
      <c r="E20" s="315">
        <v>2</v>
      </c>
      <c r="F20" s="314">
        <v>0.5</v>
      </c>
      <c r="G20" s="135">
        <f>IF('Production Data'!G65='Drop Down Lists'!B46,0,IF($F$4='Drop Down Lists'!$B$64,C20*D20*F20,C20*E20*F20))</f>
        <v>450</v>
      </c>
      <c r="H20" s="118">
        <v>10</v>
      </c>
      <c r="I20" s="303">
        <v>10</v>
      </c>
      <c r="J20" s="150">
        <f>IF('Production Data'!G65='Drop Down Lists'!B46,0,IF($F$5='Drop Down Lists'!$B$64,(G20/H20),(G20/I20)))</f>
        <v>45</v>
      </c>
      <c r="K20" s="151">
        <f>IF($F$6='Drop Down Lists'!$B$42,IF($F$5='Drop Down Lists'!$B$65,-PMT($F$7,I20,G20,0)-J20,-PMT($F$7,H20,G20,0)-J20),0)</f>
        <v>7.7537279723218191</v>
      </c>
      <c r="L20" s="150">
        <f>IF('Production Data'!G65='Drop Down Lists'!B46,0,J20+K20)</f>
        <v>52.753727972321819</v>
      </c>
      <c r="M20" s="158">
        <f>L20/Summary!$F$6</f>
        <v>13.188431993080455</v>
      </c>
      <c r="O20" s="36"/>
      <c r="S20" s="97"/>
      <c r="T20" s="97"/>
      <c r="AK20" s="112">
        <f>Summary!F9</f>
        <v>219.6875</v>
      </c>
      <c r="AL20" s="55">
        <f>Summary!$F$6</f>
        <v>4</v>
      </c>
    </row>
    <row r="21" spans="2:38" ht="12.75" customHeight="1" x14ac:dyDescent="0.25">
      <c r="B21" s="116" t="s">
        <v>24</v>
      </c>
      <c r="C21" s="308">
        <v>1500</v>
      </c>
      <c r="D21" s="149">
        <f>ROUNDUP(Summary!F9/AK21,0)</f>
        <v>1</v>
      </c>
      <c r="E21" s="315">
        <v>1</v>
      </c>
      <c r="F21" s="314">
        <v>1</v>
      </c>
      <c r="G21" s="135">
        <f>IF(Transportation!F4='Drop Down Lists'!B59,0,IF($F$4='Drop Down Lists'!$B$64,C21*D21*F21,C21*E21*F21))</f>
        <v>0</v>
      </c>
      <c r="H21" s="118">
        <v>15</v>
      </c>
      <c r="I21" s="303">
        <v>15</v>
      </c>
      <c r="J21" s="150">
        <f>IF($F$5='Drop Down Lists'!$B$64,(G21/H21),(G21/I21))</f>
        <v>0</v>
      </c>
      <c r="K21" s="151">
        <f>IF($F$6='Drop Down Lists'!$B$42,IF($F$5='Drop Down Lists'!$B$65,-PMT($F$7,I21,G21,0)-J21,-PMT($F$7,H21,G21,0)-J21),0)</f>
        <v>0</v>
      </c>
      <c r="L21" s="150">
        <f>IF(Processing!E4='Drop Down Lists'!B52,0,IF(Transportation!F4='Drop Down Lists'!B59,0,J21+K21))</f>
        <v>0</v>
      </c>
      <c r="M21" s="158">
        <f>L21/Summary!$F$6</f>
        <v>0</v>
      </c>
      <c r="O21" s="36"/>
      <c r="S21" s="97"/>
      <c r="T21" s="97"/>
      <c r="AK21" s="112">
        <f>Summary!$F$9</f>
        <v>219.6875</v>
      </c>
      <c r="AL21" s="55">
        <f>Summary!$F$6</f>
        <v>4</v>
      </c>
    </row>
    <row r="22" spans="2:38" ht="12.75" customHeight="1" x14ac:dyDescent="0.25">
      <c r="B22" s="116" t="s">
        <v>418</v>
      </c>
      <c r="C22" s="308">
        <v>350</v>
      </c>
      <c r="D22" s="149">
        <f>ROUNDUP(Summary!F9/AK22,0)</f>
        <v>1</v>
      </c>
      <c r="E22" s="315">
        <v>0</v>
      </c>
      <c r="F22" s="314">
        <v>0.2</v>
      </c>
      <c r="G22" s="135">
        <f>IF($F$4='Drop Down Lists'!$B$64,C22*D22*F22,C22*E22*F22)</f>
        <v>0</v>
      </c>
      <c r="H22" s="118">
        <v>7</v>
      </c>
      <c r="I22" s="303">
        <v>10</v>
      </c>
      <c r="J22" s="150">
        <f>IF($F$5='Drop Down Lists'!$B$64,(G22/H22),(G22/I22))</f>
        <v>0</v>
      </c>
      <c r="K22" s="151">
        <f>IF($F$6='Drop Down Lists'!$B$42,IF($F$5='Drop Down Lists'!$B$65,-PMT($F$7,I22,G22,0)-J22,-PMT($F$7,H22,G22,0)-J22),0)</f>
        <v>0</v>
      </c>
      <c r="L22" s="150">
        <f>J22+K22</f>
        <v>0</v>
      </c>
      <c r="M22" s="158">
        <f>L22/Summary!$F$6</f>
        <v>0</v>
      </c>
      <c r="O22" s="36" t="s">
        <v>420</v>
      </c>
      <c r="S22" s="97"/>
      <c r="T22" s="97"/>
      <c r="AK22" s="112">
        <f>Summary!$F$9</f>
        <v>219.6875</v>
      </c>
      <c r="AL22" s="55">
        <f>Summary!$F$6</f>
        <v>4</v>
      </c>
    </row>
    <row r="23" spans="2:38" ht="12.75" customHeight="1" x14ac:dyDescent="0.25">
      <c r="B23" s="116" t="s">
        <v>310</v>
      </c>
      <c r="C23" s="308"/>
      <c r="D23" s="149"/>
      <c r="E23" s="315"/>
      <c r="F23" s="314"/>
      <c r="G23" s="135"/>
      <c r="H23" s="118"/>
      <c r="I23" s="303"/>
      <c r="J23" s="150">
        <f>IF(Processing!E4='Drop Down Lists'!B52,Processing!N47,0)</f>
        <v>0</v>
      </c>
      <c r="K23" s="150">
        <f>IF(Processing!E4='Drop Down Lists'!B52,Processing!O47,0)</f>
        <v>0</v>
      </c>
      <c r="L23" s="150">
        <f>J23+K23</f>
        <v>0</v>
      </c>
      <c r="M23" s="158">
        <f>IF(Processing!E4='Drop Down Lists'!B52,L23/Summary!$F$6,0)</f>
        <v>0</v>
      </c>
      <c r="O23" s="36" t="s">
        <v>314</v>
      </c>
      <c r="S23" s="97"/>
      <c r="T23" s="97"/>
      <c r="AK23" s="112"/>
      <c r="AL23" s="55"/>
    </row>
    <row r="24" spans="2:38" ht="12.75" customHeight="1" x14ac:dyDescent="0.25">
      <c r="B24" s="116" t="s">
        <v>25</v>
      </c>
      <c r="C24" s="308">
        <v>200</v>
      </c>
      <c r="D24" s="149">
        <v>1</v>
      </c>
      <c r="E24" s="315">
        <v>1</v>
      </c>
      <c r="F24" s="314">
        <v>1</v>
      </c>
      <c r="G24" s="135">
        <f>IF($F$4='Drop Down Lists'!$B$64,C24*D24*F24,C24*E24*F24)</f>
        <v>200</v>
      </c>
      <c r="H24" s="118">
        <v>5</v>
      </c>
      <c r="I24" s="303">
        <v>10</v>
      </c>
      <c r="J24" s="150">
        <f>IF($F$5='Drop Down Lists'!$B$64,(G24/H24),(G24/I24))</f>
        <v>40</v>
      </c>
      <c r="K24" s="151">
        <f>IF($F$6='Drop Down Lists'!$B$42,IF($F$5='Drop Down Lists'!$B$65,-PMT($F$7,I24,G24,0)-J24,-PMT($F$7,H24,G24,0)-J24),0)</f>
        <v>3.6709142801152055</v>
      </c>
      <c r="L24" s="150">
        <f>J24+K24</f>
        <v>43.670914280115205</v>
      </c>
      <c r="M24" s="158">
        <f>L24/Summary!$F$6</f>
        <v>10.917728570028801</v>
      </c>
      <c r="O24" s="36"/>
      <c r="S24" s="97"/>
      <c r="T24" s="97"/>
      <c r="AK24" s="112"/>
      <c r="AL24" s="55"/>
    </row>
    <row r="25" spans="2:38" ht="12.75" customHeight="1" x14ac:dyDescent="0.25">
      <c r="B25" s="369" t="s">
        <v>279</v>
      </c>
      <c r="C25" s="370"/>
      <c r="D25" s="370"/>
      <c r="E25" s="370"/>
      <c r="F25" s="370"/>
      <c r="G25" s="370"/>
      <c r="H25" s="370"/>
      <c r="I25" s="370"/>
      <c r="J25" s="153">
        <f>SUM(J11:J24)</f>
        <v>345.33333333333337</v>
      </c>
      <c r="K25" s="152">
        <f>SUM(K11:K24)</f>
        <v>53.89321386274365</v>
      </c>
      <c r="L25" s="153">
        <f>SUM(L11:L24)</f>
        <v>399.22654719607698</v>
      </c>
      <c r="M25" s="153">
        <f>SUM(M11:M24)</f>
        <v>99.806636799019245</v>
      </c>
      <c r="O25" s="36"/>
      <c r="S25" s="97"/>
      <c r="T25" s="97"/>
      <c r="AK25" s="130"/>
      <c r="AL25" s="94"/>
    </row>
    <row r="26" spans="2:38" ht="4.5" customHeight="1" x14ac:dyDescent="0.25">
      <c r="B26" s="352"/>
      <c r="C26" s="353"/>
      <c r="D26" s="353"/>
      <c r="E26" s="353"/>
      <c r="F26" s="353"/>
      <c r="G26" s="353"/>
      <c r="H26" s="353"/>
      <c r="I26" s="353"/>
      <c r="J26" s="353"/>
      <c r="K26" s="353"/>
      <c r="L26" s="353"/>
      <c r="M26" s="354"/>
      <c r="O26" s="36"/>
      <c r="S26" s="97"/>
      <c r="T26" s="97"/>
      <c r="AK26" s="130"/>
      <c r="AL26" s="94"/>
    </row>
    <row r="27" spans="2:38" ht="39.75" customHeight="1" x14ac:dyDescent="0.25">
      <c r="B27" s="180"/>
      <c r="C27" s="172" t="s">
        <v>219</v>
      </c>
      <c r="D27" s="172" t="s">
        <v>226</v>
      </c>
      <c r="E27" s="172" t="s">
        <v>246</v>
      </c>
      <c r="F27" s="172" t="s">
        <v>625</v>
      </c>
      <c r="G27" s="172" t="s">
        <v>220</v>
      </c>
      <c r="H27" s="172" t="s">
        <v>247</v>
      </c>
      <c r="I27" s="172" t="s">
        <v>248</v>
      </c>
      <c r="J27" s="172" t="s">
        <v>254</v>
      </c>
      <c r="K27" s="172" t="s">
        <v>255</v>
      </c>
      <c r="L27" s="172" t="s">
        <v>296</v>
      </c>
      <c r="M27" s="172" t="s">
        <v>297</v>
      </c>
      <c r="O27" s="36"/>
      <c r="S27" s="97"/>
      <c r="T27" s="97"/>
      <c r="AK27" s="130"/>
      <c r="AL27" s="94"/>
    </row>
    <row r="28" spans="2:38" ht="12.75" customHeight="1" x14ac:dyDescent="0.25">
      <c r="B28" s="181" t="s">
        <v>144</v>
      </c>
      <c r="C28" s="393"/>
      <c r="D28" s="394"/>
      <c r="E28" s="394"/>
      <c r="F28" s="394"/>
      <c r="G28" s="394"/>
      <c r="H28" s="394"/>
      <c r="I28" s="394"/>
      <c r="J28" s="394"/>
      <c r="K28" s="394"/>
      <c r="L28" s="394"/>
      <c r="M28" s="395"/>
      <c r="O28" s="36"/>
      <c r="S28" s="107"/>
      <c r="T28" s="105"/>
      <c r="AK28" s="109" t="s">
        <v>98</v>
      </c>
      <c r="AL28" s="109" t="s">
        <v>100</v>
      </c>
    </row>
    <row r="29" spans="2:38" ht="12.75" customHeight="1" x14ac:dyDescent="0.25">
      <c r="B29" s="116" t="s">
        <v>92</v>
      </c>
      <c r="C29" s="308">
        <v>15</v>
      </c>
      <c r="D29" s="149">
        <f>ROUNDUP(Summary!$F$5/AK29,0)</f>
        <v>4</v>
      </c>
      <c r="E29" s="315">
        <v>4</v>
      </c>
      <c r="F29" s="314">
        <v>1</v>
      </c>
      <c r="G29" s="135">
        <f>IF($F$4='Drop Down Lists'!$B$64,C29*D29*F29,C29*E29*F29)</f>
        <v>60</v>
      </c>
      <c r="H29" s="118">
        <v>5</v>
      </c>
      <c r="I29" s="303">
        <v>5</v>
      </c>
      <c r="J29" s="150">
        <f>IF($F$5='Drop Down Lists'!$B$64,(G29/H29),(G29/I29))</f>
        <v>12</v>
      </c>
      <c r="K29" s="151">
        <f>IF($F$6='Drop Down Lists'!$B$42,IF($F$5='Drop Down Lists'!$B$65,-PMT($F$7,I29,G29,0)-J29,-PMT($F$7,H29,G29,0)-J29),0)</f>
        <v>1.1012742840345631</v>
      </c>
      <c r="L29" s="150">
        <f>J29+K29</f>
        <v>13.101274284034563</v>
      </c>
      <c r="M29" s="166">
        <f>L29/Summary!$F$6</f>
        <v>3.2753185710086408</v>
      </c>
      <c r="O29" s="36" t="str">
        <f>"Assuming a stocking rate of "&amp;AK29&amp;" chicks."</f>
        <v>Assuming a stocking rate of 75 chicks.</v>
      </c>
      <c r="AK29" s="93">
        <v>75</v>
      </c>
      <c r="AL29" s="93">
        <f>Summary!$F$6</f>
        <v>4</v>
      </c>
    </row>
    <row r="30" spans="2:38" ht="12.75" customHeight="1" x14ac:dyDescent="0.25">
      <c r="B30" s="116" t="s">
        <v>95</v>
      </c>
      <c r="C30" s="308">
        <v>3.1</v>
      </c>
      <c r="D30" s="149">
        <f>ROUNDUP(Summary!$F$5/AK30,0)</f>
        <v>10</v>
      </c>
      <c r="E30" s="315">
        <v>10</v>
      </c>
      <c r="F30" s="314">
        <v>1</v>
      </c>
      <c r="G30" s="135">
        <f>IF($F$4='Drop Down Lists'!$B$64,C30*D30*F30,C30*E30*F30)</f>
        <v>31</v>
      </c>
      <c r="H30" s="118">
        <v>5</v>
      </c>
      <c r="I30" s="303">
        <v>5</v>
      </c>
      <c r="J30" s="150">
        <f>IF($F$5='Drop Down Lists'!$B$64,(G30/H30),(G30/I30))</f>
        <v>6.2</v>
      </c>
      <c r="K30" s="151">
        <f>IF($F$6='Drop Down Lists'!$B$42,IF($F$5='Drop Down Lists'!$B$65,-PMT($F$7,I30,G30,0)-J30,-PMT($F$7,H30,G30,0)-J30),0)</f>
        <v>0.56899171341785681</v>
      </c>
      <c r="L30" s="150">
        <f t="shared" ref="L30:L40" si="0">J30+K30</f>
        <v>6.768991713417857</v>
      </c>
      <c r="M30" s="166">
        <f>L30/Summary!$F$6</f>
        <v>1.6922479283544642</v>
      </c>
      <c r="O30" s="36" t="str">
        <f>"Assuming a stocking rate of "&amp;AK30&amp;" chicks."</f>
        <v>Assuming a stocking rate of 25 chicks.</v>
      </c>
      <c r="AK30" s="55">
        <v>25</v>
      </c>
      <c r="AL30" s="55">
        <f>Summary!$F$6</f>
        <v>4</v>
      </c>
    </row>
    <row r="31" spans="2:38" ht="12.75" customHeight="1" x14ac:dyDescent="0.25">
      <c r="B31" s="116" t="s">
        <v>96</v>
      </c>
      <c r="C31" s="308">
        <v>6.1</v>
      </c>
      <c r="D31" s="149">
        <f>ROUNDUP(Summary!$F$5/AK31,0)</f>
        <v>10</v>
      </c>
      <c r="E31" s="315">
        <v>10</v>
      </c>
      <c r="F31" s="314">
        <v>1</v>
      </c>
      <c r="G31" s="135">
        <f>IF($F$4='Drop Down Lists'!$B$64,C31*D31*F31,C31*E31*F31)</f>
        <v>61</v>
      </c>
      <c r="H31" s="118">
        <v>5</v>
      </c>
      <c r="I31" s="303">
        <v>5</v>
      </c>
      <c r="J31" s="150">
        <f>IF($F$5='Drop Down Lists'!$B$64,(G31/H31),(G31/I31))</f>
        <v>12.2</v>
      </c>
      <c r="K31" s="151">
        <f>IF($F$6='Drop Down Lists'!$B$42,IF($F$5='Drop Down Lists'!$B$65,-PMT($F$7,I31,G31,0)-J31,-PMT($F$7,H31,G31,0)-J31),0)</f>
        <v>1.1196288554351383</v>
      </c>
      <c r="L31" s="150">
        <f t="shared" si="0"/>
        <v>13.319628855435138</v>
      </c>
      <c r="M31" s="166">
        <f>L31/Summary!$F$6</f>
        <v>3.3299072138587844</v>
      </c>
      <c r="O31" s="36" t="str">
        <f>"Assuming a stocking rate of "&amp;AK31&amp;" chicks."</f>
        <v>Assuming a stocking rate of 25 chicks.</v>
      </c>
      <c r="AK31" s="55">
        <v>25</v>
      </c>
      <c r="AL31" s="55">
        <f>Summary!$F$6</f>
        <v>4</v>
      </c>
    </row>
    <row r="32" spans="2:38" ht="12.75" customHeight="1" x14ac:dyDescent="0.25">
      <c r="B32" s="116" t="s">
        <v>93</v>
      </c>
      <c r="C32" s="308">
        <v>20</v>
      </c>
      <c r="D32" s="149">
        <f>ROUNDUP((Summary!$F$5*(1-Summary!$F$7))/AK32,0)</f>
        <v>5</v>
      </c>
      <c r="E32" s="315">
        <v>5</v>
      </c>
      <c r="F32" s="314">
        <v>1</v>
      </c>
      <c r="G32" s="135">
        <f>IF($F$4='Drop Down Lists'!$B$64,C32*D32*F32,C32*E32*F32)</f>
        <v>100</v>
      </c>
      <c r="H32" s="118">
        <v>5</v>
      </c>
      <c r="I32" s="303">
        <v>5</v>
      </c>
      <c r="J32" s="150">
        <f>IF($F$5='Drop Down Lists'!$B$64,(G32/H32),(G32/I32))</f>
        <v>20</v>
      </c>
      <c r="K32" s="151">
        <f>IF($F$6='Drop Down Lists'!$B$42,IF($F$5='Drop Down Lists'!$B$65,-PMT($F$7,I32,G32,0)-J32,-PMT($F$7,H32,G32,0)-J32),0)</f>
        <v>1.8354571400576027</v>
      </c>
      <c r="L32" s="150">
        <f t="shared" si="0"/>
        <v>21.835457140057603</v>
      </c>
      <c r="M32" s="166">
        <f>L32/Summary!$F$6</f>
        <v>5.4588642850144007</v>
      </c>
      <c r="O32" s="36" t="str">
        <f>"Assuming a stocking rate of "&amp;AK32&amp;" birds."</f>
        <v>Assuming a stocking rate of 50 birds.</v>
      </c>
      <c r="AK32" s="55">
        <v>50</v>
      </c>
      <c r="AL32" s="55">
        <f>Summary!$F$6</f>
        <v>4</v>
      </c>
    </row>
    <row r="33" spans="2:39" ht="12.75" customHeight="1" x14ac:dyDescent="0.25">
      <c r="B33" s="116" t="s">
        <v>94</v>
      </c>
      <c r="C33" s="308">
        <v>13</v>
      </c>
      <c r="D33" s="149">
        <f>ROUNDUP((Summary!$F$5*(1-Summary!$F$7))/AK33,0)</f>
        <v>6</v>
      </c>
      <c r="E33" s="315">
        <v>6</v>
      </c>
      <c r="F33" s="314">
        <v>1</v>
      </c>
      <c r="G33" s="135">
        <f>IF($F$4='Drop Down Lists'!$B$64,C33*D33*F33,C33*E33*F33)</f>
        <v>78</v>
      </c>
      <c r="H33" s="118">
        <v>5</v>
      </c>
      <c r="I33" s="303">
        <v>5</v>
      </c>
      <c r="J33" s="150">
        <f>IF($F$5='Drop Down Lists'!$B$64,(G33/H33),(G33/I33))</f>
        <v>15.6</v>
      </c>
      <c r="K33" s="151">
        <f>IF($F$6='Drop Down Lists'!$B$42,IF($F$5='Drop Down Lists'!$B$65,-PMT($F$7,I33,G33,0)-J33,-PMT($F$7,H33,G33,0)-J33),0)</f>
        <v>1.4316565692449306</v>
      </c>
      <c r="L33" s="150">
        <f t="shared" si="0"/>
        <v>17.03165656924493</v>
      </c>
      <c r="M33" s="166">
        <f>L33/Summary!$F$6</f>
        <v>4.2579141423112326</v>
      </c>
      <c r="O33" s="36" t="str">
        <f>"Assuming a stocking rate of "&amp;AK33&amp;" birds."</f>
        <v>Assuming a stocking rate of 40 birds.</v>
      </c>
      <c r="AK33" s="55">
        <v>40</v>
      </c>
      <c r="AL33" s="55">
        <f>Summary!$F$6</f>
        <v>4</v>
      </c>
    </row>
    <row r="34" spans="2:39" ht="12.75" customHeight="1" x14ac:dyDescent="0.25">
      <c r="B34" s="116" t="s">
        <v>202</v>
      </c>
      <c r="C34" s="308">
        <v>50</v>
      </c>
      <c r="D34" s="149">
        <f>ROUNDUP((Summary!$F$5*(1-Summary!$F$7))/AK34,0)</f>
        <v>1</v>
      </c>
      <c r="E34" s="315">
        <v>1</v>
      </c>
      <c r="F34" s="314">
        <v>0.5</v>
      </c>
      <c r="G34" s="135">
        <f>IF('Production Data'!G23='Drop Down Lists'!B19,0,IF($F$4='Drop Down Lists'!$B$64,C34*D34*F34,C34*E34*F34))</f>
        <v>25</v>
      </c>
      <c r="H34" s="118">
        <v>5</v>
      </c>
      <c r="I34" s="303">
        <v>7</v>
      </c>
      <c r="J34" s="150">
        <f>IF($F$5='Drop Down Lists'!$B$64,(G34/H34),(G34/I34))</f>
        <v>5</v>
      </c>
      <c r="K34" s="151">
        <f>IF($F$6='Drop Down Lists'!$B$42,IF($F$5='Drop Down Lists'!$B$65,-PMT($F$7,I34,G34,0)-J34,-PMT($F$7,H34,G34,0)-J34),0)</f>
        <v>0.45886428501440069</v>
      </c>
      <c r="L34" s="150">
        <f t="shared" si="0"/>
        <v>5.4588642850144007</v>
      </c>
      <c r="M34" s="166">
        <f>L34/Summary!$F$6</f>
        <v>1.3647160712536002</v>
      </c>
      <c r="O34" s="36" t="s">
        <v>300</v>
      </c>
      <c r="AK34" s="112">
        <f>Summary!F5*(1-Summary!F7)</f>
        <v>237.5</v>
      </c>
      <c r="AL34" s="55">
        <f>Summary!$F$6</f>
        <v>4</v>
      </c>
    </row>
    <row r="35" spans="2:39" ht="12.75" customHeight="1" x14ac:dyDescent="0.25">
      <c r="B35" s="116" t="s">
        <v>203</v>
      </c>
      <c r="C35" s="308">
        <v>75</v>
      </c>
      <c r="D35" s="149">
        <f>ROUNDUP((Summary!$F$5*(1-Summary!$F$7))/AK35,0)</f>
        <v>1</v>
      </c>
      <c r="E35" s="315">
        <v>1</v>
      </c>
      <c r="F35" s="314">
        <v>0.5</v>
      </c>
      <c r="G35" s="135">
        <f>IF('Production Data'!G23='Drop Down Lists'!B19,0,IF('Production Data'!G24='Drop Down Lists'!B23,0,IF($F$4='Drop Down Lists'!$B$64,C35*D35*F35,C35*E35*F35)))</f>
        <v>37.5</v>
      </c>
      <c r="H35" s="118">
        <v>5</v>
      </c>
      <c r="I35" s="303">
        <v>7</v>
      </c>
      <c r="J35" s="150">
        <f>IF($F$5='Drop Down Lists'!$B$64,(G35/H35),(G35/I35))</f>
        <v>7.5</v>
      </c>
      <c r="K35" s="151">
        <f>IF($F$6='Drop Down Lists'!$B$42,IF($F$5='Drop Down Lists'!$B$65,-PMT($F$7,I35,G35,0)-J35,-PMT($F$7,H35,G35,0)-J35),0)</f>
        <v>0.6882964275215997</v>
      </c>
      <c r="L35" s="150">
        <f t="shared" si="0"/>
        <v>8.1882964275215997</v>
      </c>
      <c r="M35" s="166">
        <f>L35/Summary!$F$6</f>
        <v>2.0470741068803999</v>
      </c>
      <c r="O35" s="36" t="s">
        <v>301</v>
      </c>
      <c r="AK35" s="112">
        <f>Summary!F5*(1-Summary!F7)</f>
        <v>237.5</v>
      </c>
      <c r="AL35" s="55">
        <f>Summary!$F$6</f>
        <v>4</v>
      </c>
    </row>
    <row r="36" spans="2:39" ht="12.75" customHeight="1" x14ac:dyDescent="0.25">
      <c r="B36" s="116" t="s">
        <v>97</v>
      </c>
      <c r="C36" s="308">
        <v>30</v>
      </c>
      <c r="D36" s="149">
        <f>ROUNDUP(Summary!$F$9/AK36,0)</f>
        <v>22</v>
      </c>
      <c r="E36" s="315">
        <v>20</v>
      </c>
      <c r="F36" s="314">
        <v>1</v>
      </c>
      <c r="G36" s="135">
        <f>IF(Transportation!F4='Drop Down Lists'!B59,0,IF($F$4='Drop Down Lists'!$B$64,C36*D36*F36,C36*E36*F36))</f>
        <v>0</v>
      </c>
      <c r="H36" s="118">
        <v>10</v>
      </c>
      <c r="I36" s="303">
        <v>10</v>
      </c>
      <c r="J36" s="150">
        <f>IF(Processing!E4='Drop Down Lists'!B52,0,IF(Transportation!F4='Drop Down Lists'!B59,0,IF($F$5='Drop Down Lists'!$B$64,(G36/H36),(G36/I36))))</f>
        <v>0</v>
      </c>
      <c r="K36" s="151">
        <f>IF($F$6='Drop Down Lists'!$B$42,IF($F$5='Drop Down Lists'!$B$65,-PMT($F$7,I36,G36,0)-J36,-PMT($F$7,H36,G36,0)-J36),0)</f>
        <v>0</v>
      </c>
      <c r="L36" s="150">
        <f>IF(Processing!E4='Drop Down Lists'!B52,0,IF(Transportation!F4='Drop Down Lists'!B59,0,J36+K36))</f>
        <v>0</v>
      </c>
      <c r="M36" s="158">
        <f>L36/Summary!$F$6</f>
        <v>0</v>
      </c>
      <c r="O36" s="36"/>
      <c r="AK36" s="55">
        <v>10</v>
      </c>
      <c r="AL36" s="55">
        <f>Summary!$F$6</f>
        <v>4</v>
      </c>
    </row>
    <row r="37" spans="2:39" ht="12.75" customHeight="1" x14ac:dyDescent="0.25">
      <c r="B37" s="116" t="s">
        <v>204</v>
      </c>
      <c r="C37" s="308">
        <v>150</v>
      </c>
      <c r="D37" s="149">
        <f>ROUNDUP(Summary!F9/AK37,0)</f>
        <v>1</v>
      </c>
      <c r="E37" s="315">
        <v>1</v>
      </c>
      <c r="F37" s="314">
        <v>1</v>
      </c>
      <c r="G37" s="135">
        <f>IF($F$4='Drop Down Lists'!$B$64,C37*D37*F37,C37*E37*F37)</f>
        <v>150</v>
      </c>
      <c r="H37" s="118">
        <v>5</v>
      </c>
      <c r="I37" s="303">
        <v>5</v>
      </c>
      <c r="J37" s="150">
        <f>IF($F$5='Drop Down Lists'!$B$64,(G37/H37),(G37/I37))</f>
        <v>30</v>
      </c>
      <c r="K37" s="151">
        <f>IF($F$6='Drop Down Lists'!$B$42,IF($F$5='Drop Down Lists'!$B$65,-PMT($F$7,I37,G37,0)-J37,-PMT($F$7,H37,G37,0)-J37),0)</f>
        <v>2.7531857100863988</v>
      </c>
      <c r="L37" s="150">
        <f t="shared" si="0"/>
        <v>32.753185710086399</v>
      </c>
      <c r="M37" s="166">
        <f>L37/Summary!$F$6</f>
        <v>8.1882964275215997</v>
      </c>
      <c r="O37" s="36" t="s">
        <v>221</v>
      </c>
      <c r="S37" s="97"/>
      <c r="T37" s="97"/>
      <c r="AK37" s="112">
        <f>Summary!$F$9</f>
        <v>219.6875</v>
      </c>
      <c r="AL37" s="55">
        <f>Summary!$F$6</f>
        <v>4</v>
      </c>
    </row>
    <row r="38" spans="2:39" ht="12.75" customHeight="1" x14ac:dyDescent="0.25">
      <c r="B38" s="116" t="s">
        <v>310</v>
      </c>
      <c r="C38" s="308"/>
      <c r="D38" s="149"/>
      <c r="E38" s="315"/>
      <c r="F38" s="314"/>
      <c r="G38" s="135"/>
      <c r="H38" s="118"/>
      <c r="I38" s="316"/>
      <c r="J38" s="150">
        <f>IF(Processing!E4='Drop Down Lists'!B52,Processing!N57,0)</f>
        <v>0</v>
      </c>
      <c r="K38" s="151">
        <f>IF(Processing!E4='Drop Down Lists'!B52,Processing!O57,0)</f>
        <v>0</v>
      </c>
      <c r="L38" s="150">
        <f>J38+K38</f>
        <v>0</v>
      </c>
      <c r="M38" s="158">
        <f>IF(Processing!E4='Drop Down Lists'!B52,L38/Summary!$F$6,0)</f>
        <v>0</v>
      </c>
      <c r="O38" s="36" t="s">
        <v>314</v>
      </c>
      <c r="S38" s="97"/>
      <c r="T38" s="97"/>
      <c r="AK38" s="112"/>
      <c r="AL38" s="55"/>
    </row>
    <row r="39" spans="2:39" ht="12.75" customHeight="1" x14ac:dyDescent="0.25">
      <c r="B39" s="116" t="s">
        <v>311</v>
      </c>
      <c r="C39" s="308"/>
      <c r="D39" s="149"/>
      <c r="E39" s="315"/>
      <c r="F39" s="314"/>
      <c r="G39" s="135"/>
      <c r="H39" s="118"/>
      <c r="I39" s="316"/>
      <c r="J39" s="150"/>
      <c r="K39" s="151"/>
      <c r="L39" s="150">
        <f>M39*Summary!F6</f>
        <v>284.99166666666667</v>
      </c>
      <c r="M39" s="158">
        <f>IF(Processing!E4='Drop Down Lists'!B51,SUM(Processing!H24:H25),0)</f>
        <v>71.247916666666669</v>
      </c>
      <c r="O39" s="36" t="s">
        <v>314</v>
      </c>
      <c r="S39" s="97"/>
      <c r="T39" s="97"/>
      <c r="AK39" s="112"/>
      <c r="AL39" s="55"/>
    </row>
    <row r="40" spans="2:39" ht="12.75" customHeight="1" x14ac:dyDescent="0.25">
      <c r="B40" s="116" t="s">
        <v>25</v>
      </c>
      <c r="C40" s="308">
        <v>50</v>
      </c>
      <c r="D40" s="149">
        <v>1</v>
      </c>
      <c r="E40" s="315">
        <v>0</v>
      </c>
      <c r="F40" s="314">
        <v>1</v>
      </c>
      <c r="G40" s="135">
        <f>IF($F$4='Drop Down Lists'!$B$64,C40*D40*F40,C40*E40*F40)</f>
        <v>0</v>
      </c>
      <c r="H40" s="118">
        <v>5</v>
      </c>
      <c r="I40" s="316">
        <v>5</v>
      </c>
      <c r="J40" s="150">
        <f>IF($F$5='Drop Down Lists'!$B$64,(G40/H40),(G40/I40))</f>
        <v>0</v>
      </c>
      <c r="K40" s="151">
        <f>IF($F$6='Drop Down Lists'!$B$42,IF($F$5='Drop Down Lists'!$B$65,-PMT($F$7,I40,G40,0)-J40,-PMT($F$7,H40,G40,0)-J40),0)</f>
        <v>0</v>
      </c>
      <c r="L40" s="150">
        <f t="shared" si="0"/>
        <v>0</v>
      </c>
      <c r="M40" s="158">
        <f>L40/Summary!$F$6</f>
        <v>0</v>
      </c>
      <c r="O40" s="36"/>
      <c r="S40" s="97"/>
      <c r="T40" s="97"/>
      <c r="AK40" s="112"/>
      <c r="AL40" s="55"/>
    </row>
    <row r="41" spans="2:39" ht="12.75" customHeight="1" x14ac:dyDescent="0.25">
      <c r="B41" s="369" t="s">
        <v>278</v>
      </c>
      <c r="C41" s="370"/>
      <c r="D41" s="370"/>
      <c r="E41" s="370"/>
      <c r="F41" s="370"/>
      <c r="G41" s="370"/>
      <c r="H41" s="370"/>
      <c r="I41" s="370"/>
      <c r="J41" s="153">
        <f>SUM(J29:J40)</f>
        <v>108.5</v>
      </c>
      <c r="K41" s="152">
        <f>SUM(K29:K40)</f>
        <v>9.9573549848124898</v>
      </c>
      <c r="L41" s="153">
        <f>SUM(L29:L40)</f>
        <v>403.44902165147914</v>
      </c>
      <c r="M41" s="153">
        <f>SUM(M29:M40)</f>
        <v>100.86225541286979</v>
      </c>
      <c r="O41" s="36"/>
      <c r="AK41" s="131"/>
      <c r="AL41" s="131"/>
    </row>
    <row r="42" spans="2:39" ht="12.75" customHeight="1" x14ac:dyDescent="0.25">
      <c r="B42" s="396"/>
      <c r="C42" s="397"/>
      <c r="D42" s="397"/>
      <c r="E42" s="397"/>
      <c r="F42" s="397"/>
      <c r="G42" s="397"/>
      <c r="H42" s="397"/>
      <c r="I42" s="397"/>
      <c r="J42" s="397"/>
      <c r="K42" s="397"/>
      <c r="L42" s="397"/>
      <c r="M42" s="398"/>
      <c r="O42" s="36"/>
      <c r="AK42" s="131"/>
      <c r="AL42" s="131"/>
    </row>
    <row r="43" spans="2:39" ht="12.75" customHeight="1" x14ac:dyDescent="0.25">
      <c r="B43" s="373" t="s">
        <v>151</v>
      </c>
      <c r="C43" s="374"/>
      <c r="D43" s="374"/>
      <c r="E43" s="374"/>
      <c r="F43" s="374"/>
      <c r="G43" s="374"/>
      <c r="H43" s="374"/>
      <c r="I43" s="374"/>
      <c r="J43" s="374"/>
      <c r="K43" s="375"/>
      <c r="L43" s="154">
        <f>L25+L41</f>
        <v>802.67556884755618</v>
      </c>
      <c r="M43" s="154">
        <f>M25+M41</f>
        <v>200.66889221188904</v>
      </c>
      <c r="O43" s="163"/>
      <c r="AK43" s="132"/>
      <c r="AL43" s="132"/>
      <c r="AM43" s="132"/>
    </row>
    <row r="44" spans="2:39" ht="12.75" customHeight="1" x14ac:dyDescent="0.25">
      <c r="B44" s="328"/>
      <c r="C44" s="329"/>
      <c r="D44" s="329"/>
      <c r="E44" s="329"/>
      <c r="F44" s="329"/>
      <c r="G44" s="329"/>
      <c r="H44" s="329"/>
      <c r="I44" s="329"/>
      <c r="J44" s="329"/>
      <c r="K44" s="329"/>
      <c r="L44" s="329"/>
      <c r="M44" s="330"/>
      <c r="O44" s="163"/>
    </row>
    <row r="46" spans="2:39" ht="14.45" customHeight="1" x14ac:dyDescent="0.25"/>
    <row r="49" spans="1:39" x14ac:dyDescent="0.25">
      <c r="M49" s="73"/>
    </row>
    <row r="54" spans="1:39" x14ac:dyDescent="0.25">
      <c r="C54" s="100"/>
      <c r="D54" s="55"/>
      <c r="E54" s="55"/>
      <c r="F54" s="55"/>
      <c r="G54" s="52"/>
    </row>
    <row r="55" spans="1:39" x14ac:dyDescent="0.25">
      <c r="C55" s="100"/>
      <c r="D55" s="55"/>
      <c r="E55" s="55"/>
      <c r="F55" s="55"/>
      <c r="G55" s="52"/>
    </row>
    <row r="56" spans="1:39" ht="15" customHeight="1" x14ac:dyDescent="0.25">
      <c r="A56" s="108"/>
      <c r="B56" s="108"/>
      <c r="C56" s="108"/>
      <c r="D56" s="108"/>
      <c r="E56" s="108"/>
      <c r="F56" s="108"/>
      <c r="G56" s="108"/>
      <c r="H56" s="108"/>
      <c r="I56" s="108"/>
      <c r="J56" s="108"/>
      <c r="K56" s="108"/>
      <c r="L56" s="108"/>
      <c r="M56" s="108"/>
      <c r="AK56" s="108"/>
      <c r="AL56" s="108"/>
      <c r="AM56" s="108"/>
    </row>
    <row r="57" spans="1:39" x14ac:dyDescent="0.25">
      <c r="C57" s="100"/>
      <c r="D57" s="55"/>
      <c r="E57" s="55"/>
      <c r="F57" s="55"/>
      <c r="G57" s="52"/>
    </row>
    <row r="58" spans="1:39" x14ac:dyDescent="0.25">
      <c r="C58" s="100"/>
      <c r="D58" s="55"/>
      <c r="E58" s="55"/>
      <c r="F58" s="55"/>
      <c r="G58" s="52"/>
    </row>
    <row r="59" spans="1:39" x14ac:dyDescent="0.25">
      <c r="C59" s="100"/>
      <c r="D59" s="55"/>
      <c r="E59" s="55"/>
      <c r="F59" s="55"/>
      <c r="G59" s="52"/>
    </row>
  </sheetData>
  <sheetProtection algorithmName="SHA-512" hashValue="q3kfFEsBvgMTuLhnx8tKTtH861Sp1eEBfzXpEZopQpzhv8WV8xFTnGCY5S4CNUseaxuCMQmLu+GH91inUOozWQ==" saltValue="8P4tq9C9WhTdqlYsfEkGcw==" spinCount="100000" sheet="1" objects="1" scenarios="1" formatCells="0" formatColumns="0" formatRows="0"/>
  <customSheetViews>
    <customSheetView guid="{02D6CAA4-1939-49F0-A08C-119793CA9847}" state="hidden" topLeftCell="A13">
      <selection activeCell="B34" sqref="B34"/>
      <pageMargins left="0.7" right="0.7" top="0.75" bottom="0.75" header="0.3" footer="0.3"/>
      <pageSetup orientation="portrait"/>
    </customSheetView>
  </customSheetViews>
  <mergeCells count="19">
    <mergeCell ref="B25:I25"/>
    <mergeCell ref="C10:M10"/>
    <mergeCell ref="B8:M8"/>
    <mergeCell ref="B3:M3"/>
    <mergeCell ref="B2:M2"/>
    <mergeCell ref="B4:E4"/>
    <mergeCell ref="B7:E7"/>
    <mergeCell ref="B6:E6"/>
    <mergeCell ref="B5:E5"/>
    <mergeCell ref="F7:G7"/>
    <mergeCell ref="F6:G6"/>
    <mergeCell ref="F5:G5"/>
    <mergeCell ref="F4:G4"/>
    <mergeCell ref="B44:M44"/>
    <mergeCell ref="B43:K43"/>
    <mergeCell ref="C28:M28"/>
    <mergeCell ref="B26:M26"/>
    <mergeCell ref="B42:M42"/>
    <mergeCell ref="B41:I41"/>
  </mergeCells>
  <pageMargins left="0.7" right="0.7" top="0.75" bottom="0.75" header="0.3" footer="0.3"/>
  <pageSetup scale="70" orientation="landscape" horizontalDpi="4294967295" verticalDpi="4294967295" r:id="rId1"/>
  <legacyDrawing r:id="rId2"/>
  <extLst>
    <ext xmlns:x14="http://schemas.microsoft.com/office/spreadsheetml/2009/9/main" uri="{78C0D931-6437-407d-A8EE-F0AAD7539E65}">
      <x14:conditionalFormattings>
        <x14:conditionalFormatting xmlns:xm="http://schemas.microsoft.com/office/excel/2006/main">
          <x14:cfRule type="expression" priority="231" id="{DCEF1DF6-4850-4FC0-A2CF-C60B0EB0A5B8}">
            <xm:f>$F$6='Drop Down Lists'!$B$43</xm:f>
            <x14:dxf>
              <font>
                <color theme="0"/>
              </font>
            </x14:dxf>
          </x14:cfRule>
          <xm:sqref>B7:F7 K9 K11:K25 K27 K29:K41</xm:sqref>
        </x14:conditionalFormatting>
        <x14:conditionalFormatting xmlns:xm="http://schemas.microsoft.com/office/excel/2006/main">
          <x14:cfRule type="expression" priority="199" id="{61499932-9F35-437A-8183-0BB6AE755D33}">
            <xm:f>'Production Data'!$G$23='Drop Down Lists'!$B$20</xm:f>
            <x14:dxf>
              <font>
                <color theme="0"/>
              </font>
            </x14:dxf>
          </x14:cfRule>
          <xm:sqref>B12:M12 O12</xm:sqref>
        </x14:conditionalFormatting>
        <x14:conditionalFormatting xmlns:xm="http://schemas.microsoft.com/office/excel/2006/main">
          <x14:cfRule type="expression" priority="212" id="{11DFE4E5-1B6E-4DA0-8D75-7820F7DD32A9}">
            <xm:f>'Production Data'!$G$24='Drop Down Lists'!$B$23</xm:f>
            <x14:dxf>
              <font>
                <color theme="0"/>
              </font>
            </x14:dxf>
          </x14:cfRule>
          <xm:sqref>B13:M13 O13</xm:sqref>
        </x14:conditionalFormatting>
        <x14:conditionalFormatting xmlns:xm="http://schemas.microsoft.com/office/excel/2006/main">
          <x14:cfRule type="expression" priority="201" id="{1D48C39D-69C8-4287-A717-FC03237E85E1}">
            <xm:f>'Production Data'!$G$23='Drop Down Lists'!$B$19</xm:f>
            <x14:dxf>
              <font>
                <color theme="0"/>
              </font>
            </x14:dxf>
          </x14:cfRule>
          <xm:sqref>B13:M14 O13:O14 B34:M35 O34:O35</xm:sqref>
        </x14:conditionalFormatting>
        <x14:conditionalFormatting xmlns:xm="http://schemas.microsoft.com/office/excel/2006/main">
          <x14:cfRule type="expression" priority="210" id="{B723B1C4-0FDB-4DE0-90E4-36849E118B72}">
            <xm:f>'Production Data'!$G$24='Drop Down Lists'!$B$22</xm:f>
            <x14:dxf>
              <font>
                <color theme="0"/>
              </font>
            </x14:dxf>
          </x14:cfRule>
          <xm:sqref>B14:M14 O14</xm:sqref>
        </x14:conditionalFormatting>
        <x14:conditionalFormatting xmlns:xm="http://schemas.microsoft.com/office/excel/2006/main">
          <x14:cfRule type="expression" priority="305" id="{12BF21DE-773E-49D0-BCD7-70286BEFF31F}">
            <xm:f>'Production Data'!$G$26='Drop Down Lists'!$B$26</xm:f>
            <x14:dxf>
              <font>
                <color theme="0"/>
              </font>
            </x14:dxf>
          </x14:cfRule>
          <x14:cfRule type="expression" priority="306" id="{6BDBACFB-4C27-40AC-9011-65FBFE3B415F}">
            <xm:f>'Production Data'!$G$23='Drop Down Lists'!$B$20</xm:f>
            <x14:dxf>
              <font>
                <color theme="0"/>
              </font>
            </x14:dxf>
          </x14:cfRule>
          <xm:sqref>B15:M15 O15</xm:sqref>
        </x14:conditionalFormatting>
        <x14:conditionalFormatting xmlns:xm="http://schemas.microsoft.com/office/excel/2006/main">
          <x14:cfRule type="expression" priority="307" id="{13BEA97B-26B9-42BF-BE2C-77D21F1E25F6}">
            <xm:f>'Production Data'!$G$26='Drop Down Lists'!$B$25</xm:f>
            <x14:dxf>
              <font>
                <color theme="0"/>
              </font>
            </x14:dxf>
          </x14:cfRule>
          <xm:sqref>B15:M17</xm:sqref>
        </x14:conditionalFormatting>
        <x14:conditionalFormatting xmlns:xm="http://schemas.microsoft.com/office/excel/2006/main">
          <x14:cfRule type="expression" priority="214" id="{FF034F78-E2B7-434D-9399-AD8A74CE9859}">
            <xm:f>'Production Data'!$G$26='Drop Down Lists'!$B$27</xm:f>
            <x14:dxf>
              <font>
                <color theme="0"/>
              </font>
            </x14:dxf>
          </x14:cfRule>
          <xm:sqref>B16:M16 O16</xm:sqref>
        </x14:conditionalFormatting>
        <x14:conditionalFormatting xmlns:xm="http://schemas.microsoft.com/office/excel/2006/main">
          <x14:cfRule type="expression" priority="312" id="{CCAFCD5B-FB71-45C2-B91C-28797C9831B0}">
            <xm:f>'Production Data'!$G$34='Drop Down Lists'!$B$36</xm:f>
            <x14:dxf>
              <font>
                <color theme="0"/>
              </font>
            </x14:dxf>
          </x14:cfRule>
          <xm:sqref>B18:M18 O18</xm:sqref>
        </x14:conditionalFormatting>
        <x14:conditionalFormatting xmlns:xm="http://schemas.microsoft.com/office/excel/2006/main">
          <x14:cfRule type="expression" priority="238" id="{D3C6CBB7-84B2-43C1-B803-AD69693B7E55}">
            <xm:f>'Production Data'!$G$65='Drop Down Lists'!$B$47</xm:f>
            <x14:dxf>
              <font>
                <color theme="0"/>
              </font>
            </x14:dxf>
          </x14:cfRule>
          <xm:sqref>B19:M19 O19</xm:sqref>
        </x14:conditionalFormatting>
        <x14:conditionalFormatting xmlns:xm="http://schemas.microsoft.com/office/excel/2006/main">
          <x14:cfRule type="expression" priority="240" id="{FECD266E-6791-4B52-BCDF-DDE654E4C531}">
            <xm:f>'Production Data'!$G$65='Drop Down Lists'!$B$46</xm:f>
            <x14:dxf>
              <font>
                <color theme="0"/>
              </font>
            </x14:dxf>
          </x14:cfRule>
          <xm:sqref>B20:M20 O20 D22</xm:sqref>
        </x14:conditionalFormatting>
        <x14:conditionalFormatting xmlns:xm="http://schemas.microsoft.com/office/excel/2006/main">
          <x14:cfRule type="expression" priority="277" id="{2A382663-8759-46AC-8BB2-828C0E791A16}">
            <xm:f>Transportation!$F$4='Drop Down Lists'!$B$59</xm:f>
            <x14:dxf>
              <font>
                <color theme="0"/>
              </font>
            </x14:dxf>
          </x14:cfRule>
          <xm:sqref>B21:M21 O21 B36:M36 O36</xm:sqref>
        </x14:conditionalFormatting>
        <x14:conditionalFormatting xmlns:xm="http://schemas.microsoft.com/office/excel/2006/main">
          <x14:cfRule type="expression" priority="259" id="{6F7F6542-3176-407E-BFC0-984BFB914270}">
            <xm:f>Processing!$E$4='Drop Down Lists'!$B$51</xm:f>
            <x14:dxf>
              <font>
                <color theme="0"/>
              </font>
            </x14:dxf>
          </x14:cfRule>
          <xm:sqref>B23:M23 O23 B38:M38 O38</xm:sqref>
        </x14:conditionalFormatting>
        <x14:conditionalFormatting xmlns:xm="http://schemas.microsoft.com/office/excel/2006/main">
          <x14:cfRule type="expression" priority="253" id="{928D831E-C2C0-4244-9658-1E94AF34F423}">
            <xm:f>Processing!$E$4='Drop Down Lists'!$B$50</xm:f>
            <x14:dxf>
              <font>
                <color theme="0"/>
              </font>
            </x14:dxf>
          </x14:cfRule>
          <xm:sqref>B23:M23 O23 B38:M39 O38:O39</xm:sqref>
        </x14:conditionalFormatting>
        <x14:conditionalFormatting xmlns:xm="http://schemas.microsoft.com/office/excel/2006/main">
          <x14:cfRule type="expression" priority="257" id="{12407E73-21F5-461E-93DA-80C8D47A149D}">
            <xm:f>Processing!$E$4='Drop Down Lists'!$B$52</xm:f>
            <x14:dxf>
              <font>
                <color theme="0"/>
              </font>
            </x14:dxf>
          </x14:cfRule>
          <xm:sqref>B39:M39 O39</xm:sqref>
        </x14:conditionalFormatting>
        <x14:conditionalFormatting xmlns:xm="http://schemas.microsoft.com/office/excel/2006/main">
          <x14:cfRule type="expression" priority="318" id="{0F4B1F90-1104-4263-A44A-B8859BB389E0}">
            <xm:f>$F$4='Drop Down Lists'!$B$64</xm:f>
            <x14:dxf>
              <font>
                <color theme="0"/>
              </font>
            </x14:dxf>
          </x14:cfRule>
          <xm:sqref>E9 E11:E24 E27 E29:E40</xm:sqref>
        </x14:conditionalFormatting>
        <x14:conditionalFormatting xmlns:xm="http://schemas.microsoft.com/office/excel/2006/main">
          <x14:cfRule type="expression" priority="322" id="{245DD313-7CC1-44C3-8B16-28C1D97A9189}">
            <xm:f>$F$5='Drop Down Lists'!$B$64</xm:f>
            <x14:dxf>
              <font>
                <color theme="0"/>
              </font>
            </x14:dxf>
          </x14:cfRule>
          <xm:sqref>I9 I11:I24 I27 I29:I40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'Drop Down Lists'!$B$64:$B$65</xm:f>
          </x14:formula1>
          <xm:sqref>F4:G4 F5:G5</xm:sqref>
        </x14:dataValidation>
        <x14:dataValidation type="list" allowBlank="1" showInputMessage="1" showErrorMessage="1" xr:uid="{00000000-0002-0000-0400-000001000000}">
          <x14:formula1>
            <xm:f>'Drop Down Lists'!$B$42:$B$43</xm:f>
          </x14:formula1>
          <xm:sqref>F6:G6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R69"/>
  <sheetViews>
    <sheetView showGridLines="0" zoomScaleNormal="100" workbookViewId="0">
      <selection activeCell="F6" sqref="F6"/>
    </sheetView>
  </sheetViews>
  <sheetFormatPr defaultColWidth="8.85546875" defaultRowHeight="12.75" x14ac:dyDescent="0.25"/>
  <cols>
    <col min="1" max="2" width="5.28515625" style="30" customWidth="1"/>
    <col min="3" max="3" width="9.7109375" style="30" customWidth="1"/>
    <col min="4" max="6" width="9.140625" style="30" customWidth="1"/>
    <col min="7" max="7" width="12.140625" style="30" bestFit="1" customWidth="1"/>
    <col min="8" max="8" width="9.85546875" style="30" customWidth="1"/>
    <col min="9" max="9" width="14.85546875" style="30" customWidth="1"/>
    <col min="10" max="10" width="11.42578125" style="30" bestFit="1" customWidth="1"/>
    <col min="11" max="11" width="11.42578125" style="30" customWidth="1"/>
    <col min="12" max="12" width="5.28515625" style="30" customWidth="1"/>
    <col min="13" max="14" width="9.140625" style="30" customWidth="1"/>
    <col min="15" max="15" width="10.140625" style="30" bestFit="1" customWidth="1"/>
    <col min="16" max="16384" width="8.85546875" style="30"/>
  </cols>
  <sheetData>
    <row r="1" spans="2:18" ht="12.75" customHeight="1" x14ac:dyDescent="0.25"/>
    <row r="2" spans="2:18" ht="15.75" x14ac:dyDescent="0.25">
      <c r="B2" s="411" t="str">
        <f>"Broiler Production Costs and Returns - "&amp;'Production Data'!G9</f>
        <v>Broiler Production Costs and Returns - Freedom Ranger (10 wks)</v>
      </c>
      <c r="C2" s="412"/>
      <c r="D2" s="412"/>
      <c r="E2" s="412"/>
      <c r="F2" s="412"/>
      <c r="G2" s="412"/>
      <c r="H2" s="412"/>
      <c r="I2" s="412"/>
      <c r="J2" s="412"/>
      <c r="K2" s="413"/>
      <c r="L2" s="113"/>
      <c r="M2" s="36"/>
    </row>
    <row r="3" spans="2:18" ht="12.75" customHeight="1" x14ac:dyDescent="0.25">
      <c r="B3" s="331"/>
      <c r="C3" s="332"/>
      <c r="D3" s="332"/>
      <c r="E3" s="332"/>
      <c r="F3" s="332"/>
      <c r="G3" s="332"/>
      <c r="H3" s="332"/>
      <c r="I3" s="332"/>
      <c r="J3" s="332"/>
      <c r="K3" s="333"/>
      <c r="M3" s="36"/>
    </row>
    <row r="4" spans="2:18" ht="12.75" customHeight="1" x14ac:dyDescent="0.25">
      <c r="B4" s="410" t="s">
        <v>0</v>
      </c>
      <c r="C4" s="410"/>
      <c r="D4" s="410"/>
      <c r="E4" s="410"/>
      <c r="F4" s="414"/>
      <c r="G4" s="415"/>
      <c r="H4" s="415"/>
      <c r="I4" s="415"/>
      <c r="J4" s="415"/>
      <c r="K4" s="416"/>
      <c r="M4" s="145" t="s">
        <v>217</v>
      </c>
      <c r="N4" s="131"/>
      <c r="O4" s="131"/>
      <c r="P4" s="131"/>
      <c r="Q4" s="131"/>
      <c r="R4" s="131"/>
    </row>
    <row r="5" spans="2:18" ht="12.75" customHeight="1" x14ac:dyDescent="0.25">
      <c r="B5" s="327" t="s">
        <v>159</v>
      </c>
      <c r="C5" s="327"/>
      <c r="D5" s="327"/>
      <c r="E5" s="327"/>
      <c r="F5" s="134">
        <f>'Production Data'!G4</f>
        <v>250</v>
      </c>
      <c r="G5" s="116"/>
      <c r="H5" s="327" t="s">
        <v>208</v>
      </c>
      <c r="I5" s="327"/>
      <c r="J5" s="327"/>
      <c r="K5" s="120">
        <f>IF('Production Data'!G9='Drop Down Lists'!B9,'Production Data'!G39/'Production Data'!G12,IF('Production Data'!G38='Drop Down Lists'!B15,'Production Data'!H39/'Production Data'!G12,'Production Data'!G39/'Production Data'!G12))</f>
        <v>3.3636363636363638</v>
      </c>
      <c r="L5" s="213"/>
      <c r="M5" s="127"/>
      <c r="N5" s="36"/>
    </row>
    <row r="6" spans="2:18" ht="12.75" customHeight="1" x14ac:dyDescent="0.25">
      <c r="B6" s="327" t="s">
        <v>100</v>
      </c>
      <c r="C6" s="327"/>
      <c r="D6" s="327"/>
      <c r="E6" s="327"/>
      <c r="F6" s="134">
        <f>'Production Data'!G5</f>
        <v>4</v>
      </c>
      <c r="G6" s="116"/>
      <c r="H6" s="327" t="s">
        <v>343</v>
      </c>
      <c r="I6" s="327"/>
      <c r="J6" s="327"/>
      <c r="K6" s="120">
        <f>IF('Production Data'!G9='Drop Down Lists'!B4, 'Production Data'!E71, IF('Production Data'!G9='Drop Down Lists'!B5,'Production Data'!E72,IF('Production Data'!G9='Drop Down Lists'!B6,'Production Data'!E73,IF('Production Data'!G9='Drop Down Lists'!B7,'Production Data'!E74,IF('Production Data'!G9='Drop Down Lists'!B8,'Production Data'!E75,'Production Data'!G10)))))</f>
        <v>10</v>
      </c>
      <c r="L6" s="40"/>
      <c r="N6" s="36"/>
    </row>
    <row r="7" spans="2:18" ht="12.75" customHeight="1" x14ac:dyDescent="0.25">
      <c r="B7" s="327" t="s">
        <v>182</v>
      </c>
      <c r="C7" s="327"/>
      <c r="D7" s="327"/>
      <c r="E7" s="327"/>
      <c r="F7" s="155">
        <f>IF('Production Data'!G47='Drop Down Lists'!B11,'Production Data'!H48,'Production Data'!G48)</f>
        <v>0.05</v>
      </c>
      <c r="G7" s="116"/>
      <c r="H7" s="327" t="s">
        <v>132</v>
      </c>
      <c r="I7" s="327"/>
      <c r="J7" s="327"/>
      <c r="K7" s="138">
        <f>'Production Data'!G12</f>
        <v>5.5</v>
      </c>
      <c r="L7" s="214"/>
      <c r="N7" s="36"/>
    </row>
    <row r="8" spans="2:18" ht="12.75" customHeight="1" x14ac:dyDescent="0.25">
      <c r="B8" s="327" t="s">
        <v>183</v>
      </c>
      <c r="C8" s="327"/>
      <c r="D8" s="327"/>
      <c r="E8" s="327"/>
      <c r="F8" s="155">
        <f>IF('Production Data'!G51='Drop Down Lists'!B11,'Production Data'!H52,'Production Data'!G52)</f>
        <v>7.4999999999999997E-2</v>
      </c>
      <c r="G8" s="116"/>
      <c r="H8" s="327" t="s">
        <v>216</v>
      </c>
      <c r="I8" s="327"/>
      <c r="J8" s="327"/>
      <c r="K8" s="156">
        <f>IF('Production Data'!G13='Drop Down Lists'!B11,'Production Data'!G14,'Production Data'!H14)</f>
        <v>0.72</v>
      </c>
      <c r="L8" s="215"/>
      <c r="N8" s="36"/>
    </row>
    <row r="9" spans="2:18" ht="12.75" customHeight="1" x14ac:dyDescent="0.25">
      <c r="B9" s="328" t="s">
        <v>376</v>
      </c>
      <c r="C9" s="329"/>
      <c r="D9" s="329"/>
      <c r="E9" s="330"/>
      <c r="F9" s="136">
        <f>(F5*(1-F7))*(1-F8)</f>
        <v>219.6875</v>
      </c>
      <c r="G9" s="116"/>
      <c r="H9" s="327" t="s">
        <v>341</v>
      </c>
      <c r="I9" s="327"/>
      <c r="J9" s="327"/>
      <c r="K9" s="138">
        <f>K7*K8</f>
        <v>3.96</v>
      </c>
      <c r="L9" s="214"/>
      <c r="N9" s="36"/>
    </row>
    <row r="10" spans="2:18" ht="12.75" customHeight="1" x14ac:dyDescent="0.25">
      <c r="B10" s="327" t="s">
        <v>377</v>
      </c>
      <c r="C10" s="327"/>
      <c r="D10" s="327"/>
      <c r="E10" s="327"/>
      <c r="F10" s="136">
        <f>F9*F6</f>
        <v>878.75</v>
      </c>
      <c r="G10" s="116"/>
      <c r="H10" s="327" t="s">
        <v>128</v>
      </c>
      <c r="I10" s="327"/>
      <c r="J10" s="327"/>
      <c r="K10" s="157">
        <f>'Production Data'!E20</f>
        <v>4.9999999999999989E-2</v>
      </c>
      <c r="L10" s="216"/>
      <c r="N10" s="36"/>
    </row>
    <row r="11" spans="2:18" ht="12.75" customHeight="1" x14ac:dyDescent="0.25">
      <c r="B11" s="331"/>
      <c r="C11" s="332"/>
      <c r="D11" s="332"/>
      <c r="E11" s="332"/>
      <c r="F11" s="332"/>
      <c r="G11" s="332"/>
      <c r="H11" s="332"/>
      <c r="I11" s="332"/>
      <c r="J11" s="332"/>
      <c r="K11" s="333"/>
      <c r="L11" s="55"/>
      <c r="M11" s="161"/>
      <c r="N11" s="127"/>
    </row>
    <row r="12" spans="2:18" ht="25.5" x14ac:dyDescent="0.25">
      <c r="B12" s="324"/>
      <c r="C12" s="324"/>
      <c r="D12" s="324"/>
      <c r="E12" s="324"/>
      <c r="F12" s="226" t="s">
        <v>618</v>
      </c>
      <c r="G12" s="172" t="s">
        <v>624</v>
      </c>
      <c r="H12" s="142" t="s">
        <v>367</v>
      </c>
      <c r="I12" s="142" t="s">
        <v>631</v>
      </c>
      <c r="J12" s="142" t="s">
        <v>368</v>
      </c>
      <c r="K12" s="142" t="s">
        <v>369</v>
      </c>
      <c r="L12" s="55"/>
      <c r="M12" s="62"/>
      <c r="P12" s="128"/>
    </row>
    <row r="13" spans="2:18" ht="12.75" customHeight="1" x14ac:dyDescent="0.25">
      <c r="B13" s="417" t="s">
        <v>370</v>
      </c>
      <c r="C13" s="417"/>
      <c r="D13" s="417"/>
      <c r="E13" s="417"/>
      <c r="F13" s="377"/>
      <c r="G13" s="378"/>
      <c r="H13" s="378"/>
      <c r="I13" s="378"/>
      <c r="J13" s="378"/>
      <c r="K13" s="379"/>
      <c r="L13" s="55"/>
      <c r="M13" s="62"/>
      <c r="P13" s="128"/>
    </row>
    <row r="14" spans="2:18" ht="12.75" customHeight="1" x14ac:dyDescent="0.25">
      <c r="B14" s="116"/>
      <c r="C14" s="327" t="s">
        <v>339</v>
      </c>
      <c r="D14" s="327"/>
      <c r="E14" s="327"/>
      <c r="F14" s="122">
        <f>'Production Data'!E18</f>
        <v>0.65</v>
      </c>
      <c r="G14" s="136">
        <f>F9*K9*F14</f>
        <v>565.47562500000004</v>
      </c>
      <c r="H14" s="195">
        <f>F10*K9*F14</f>
        <v>2261.9025000000001</v>
      </c>
      <c r="I14" s="121">
        <f>'Production Data'!H18</f>
        <v>5</v>
      </c>
      <c r="J14" s="135">
        <f>G14*I14</f>
        <v>2827.3781250000002</v>
      </c>
      <c r="K14" s="135">
        <f>H14*I14</f>
        <v>11309.512500000001</v>
      </c>
      <c r="L14" s="55"/>
      <c r="M14" s="163"/>
      <c r="P14" s="111"/>
    </row>
    <row r="15" spans="2:18" ht="12.75" customHeight="1" x14ac:dyDescent="0.25">
      <c r="B15" s="116"/>
      <c r="C15" s="327" t="s">
        <v>340</v>
      </c>
      <c r="D15" s="327"/>
      <c r="E15" s="327"/>
      <c r="F15" s="122">
        <f>'Production Data'!E19</f>
        <v>0.3</v>
      </c>
      <c r="G15" s="136">
        <f>F9*K9*F15</f>
        <v>260.98874999999998</v>
      </c>
      <c r="H15" s="195">
        <f>F10*K9*F15</f>
        <v>1043.9549999999999</v>
      </c>
      <c r="I15" s="121">
        <f>'Production Data'!H19</f>
        <v>4.5</v>
      </c>
      <c r="J15" s="135">
        <f>G15*I15</f>
        <v>1174.4493749999999</v>
      </c>
      <c r="K15" s="135">
        <f>H15*I15</f>
        <v>4697.7974999999997</v>
      </c>
      <c r="L15" s="55"/>
      <c r="M15" s="36"/>
      <c r="P15" s="111"/>
    </row>
    <row r="16" spans="2:18" ht="4.5" customHeight="1" x14ac:dyDescent="0.25">
      <c r="B16" s="331"/>
      <c r="C16" s="332"/>
      <c r="D16" s="332"/>
      <c r="E16" s="332"/>
      <c r="F16" s="332"/>
      <c r="G16" s="332"/>
      <c r="H16" s="332"/>
      <c r="I16" s="332"/>
      <c r="J16" s="332"/>
      <c r="K16" s="333"/>
      <c r="L16" s="55"/>
      <c r="M16" s="36"/>
      <c r="P16" s="111"/>
    </row>
    <row r="17" spans="2:16" ht="12.75" customHeight="1" x14ac:dyDescent="0.25">
      <c r="B17" s="372" t="s">
        <v>619</v>
      </c>
      <c r="C17" s="372"/>
      <c r="D17" s="372"/>
      <c r="E17" s="372"/>
      <c r="F17" s="122">
        <f>SUM(F14:F15)</f>
        <v>0.95</v>
      </c>
      <c r="G17" s="136">
        <f>SUM(G14:G15)</f>
        <v>826.46437500000002</v>
      </c>
      <c r="H17" s="195">
        <f>SUM(H14:H15)</f>
        <v>3305.8575000000001</v>
      </c>
      <c r="I17" s="121">
        <f>((G14*I14)+(G15*I15))/G17</f>
        <v>4.8421052631578947</v>
      </c>
      <c r="J17" s="135">
        <f>SUM(J14:J15)</f>
        <v>4001.8275000000003</v>
      </c>
      <c r="K17" s="135">
        <f>SUM(K14:K15)</f>
        <v>16007.310000000001</v>
      </c>
      <c r="L17" s="55"/>
      <c r="M17" s="36" t="s">
        <v>378</v>
      </c>
      <c r="P17" s="114"/>
    </row>
    <row r="18" spans="2:16" ht="12.75" customHeight="1" x14ac:dyDescent="0.25">
      <c r="B18" s="331"/>
      <c r="C18" s="332"/>
      <c r="D18" s="332"/>
      <c r="E18" s="332"/>
      <c r="F18" s="332"/>
      <c r="G18" s="332"/>
      <c r="H18" s="332"/>
      <c r="I18" s="332"/>
      <c r="J18" s="332"/>
      <c r="K18" s="333"/>
      <c r="L18" s="55"/>
      <c r="M18" s="62"/>
    </row>
    <row r="19" spans="2:16" ht="25.5" x14ac:dyDescent="0.25">
      <c r="B19" s="324"/>
      <c r="C19" s="324"/>
      <c r="D19" s="324"/>
      <c r="E19" s="324"/>
      <c r="F19" s="118" t="s">
        <v>1</v>
      </c>
      <c r="G19" s="118" t="s">
        <v>2</v>
      </c>
      <c r="H19" s="118" t="s">
        <v>229</v>
      </c>
      <c r="I19" s="172" t="s">
        <v>623</v>
      </c>
      <c r="J19" s="118" t="s">
        <v>140</v>
      </c>
      <c r="K19" s="118" t="s">
        <v>359</v>
      </c>
      <c r="L19" s="55"/>
      <c r="M19" s="62"/>
    </row>
    <row r="20" spans="2:16" ht="12.75" customHeight="1" x14ac:dyDescent="0.25">
      <c r="B20" s="417" t="s">
        <v>375</v>
      </c>
      <c r="C20" s="417"/>
      <c r="D20" s="417"/>
      <c r="E20" s="417"/>
      <c r="F20" s="422"/>
      <c r="G20" s="423"/>
      <c r="H20" s="423"/>
      <c r="I20" s="423"/>
      <c r="J20" s="423"/>
      <c r="K20" s="424"/>
      <c r="L20" s="55"/>
      <c r="M20" s="184"/>
    </row>
    <row r="21" spans="2:16" ht="12.75" customHeight="1" x14ac:dyDescent="0.25">
      <c r="B21" s="116"/>
      <c r="C21" s="327" t="s">
        <v>13</v>
      </c>
      <c r="D21" s="327"/>
      <c r="E21" s="327"/>
      <c r="F21" s="136">
        <f>'Production Data'!G4</f>
        <v>250</v>
      </c>
      <c r="G21" s="173" t="s">
        <v>622</v>
      </c>
      <c r="H21" s="159">
        <f>'Production Data'!G32</f>
        <v>1.6400000000000001</v>
      </c>
      <c r="I21" s="121">
        <f>(F21*H21)/F9</f>
        <v>1.8662873399715507</v>
      </c>
      <c r="J21" s="119">
        <f t="shared" ref="J21:J27" si="0">F21*H21</f>
        <v>410.00000000000006</v>
      </c>
      <c r="K21" s="119">
        <f>J21*$F$6</f>
        <v>1640.0000000000002</v>
      </c>
      <c r="L21" s="55"/>
      <c r="M21" s="36" t="s">
        <v>630</v>
      </c>
    </row>
    <row r="22" spans="2:16" ht="12.75" customHeight="1" x14ac:dyDescent="0.25">
      <c r="B22" s="116"/>
      <c r="C22" s="327" t="s">
        <v>4</v>
      </c>
      <c r="D22" s="327"/>
      <c r="E22" s="327"/>
      <c r="F22" s="138">
        <f>'Production Data'!G40</f>
        <v>81.284374999999997</v>
      </c>
      <c r="G22" s="173" t="str">
        <f>IF('Production Data'!G34='Drop Down Lists'!B35,"tons/batch","bags/batch")</f>
        <v>bags/batch</v>
      </c>
      <c r="H22" s="135">
        <f>IF('Production Data'!G34='Drop Down Lists'!B35,'Production Data'!H35,'Production Data'!G35)</f>
        <v>13.5</v>
      </c>
      <c r="I22" s="121">
        <f>(F22*H22)/F9</f>
        <v>4.9950000000000001</v>
      </c>
      <c r="J22" s="119">
        <f t="shared" si="0"/>
        <v>1097.3390625</v>
      </c>
      <c r="K22" s="119">
        <f>J22*$F$6</f>
        <v>4389.3562499999998</v>
      </c>
      <c r="L22" s="133"/>
      <c r="M22" s="184"/>
    </row>
    <row r="23" spans="2:16" ht="12.75" customHeight="1" x14ac:dyDescent="0.25">
      <c r="B23" s="116"/>
      <c r="C23" s="328" t="s">
        <v>439</v>
      </c>
      <c r="D23" s="329"/>
      <c r="E23" s="330"/>
      <c r="F23" s="138">
        <v>1</v>
      </c>
      <c r="G23" s="173" t="s">
        <v>305</v>
      </c>
      <c r="H23" s="135">
        <f>'Production Data'!G43</f>
        <v>150</v>
      </c>
      <c r="I23" s="121">
        <f>(F23*H23)/F9</f>
        <v>0.6827880512091038</v>
      </c>
      <c r="J23" s="119">
        <f t="shared" si="0"/>
        <v>150</v>
      </c>
      <c r="K23" s="119">
        <f>J23*$F$6</f>
        <v>600</v>
      </c>
      <c r="L23" s="133"/>
      <c r="M23" s="161"/>
    </row>
    <row r="24" spans="2:16" ht="12.75" customHeight="1" x14ac:dyDescent="0.25">
      <c r="B24" s="116"/>
      <c r="C24" s="327" t="s">
        <v>5</v>
      </c>
      <c r="D24" s="327"/>
      <c r="E24" s="327"/>
      <c r="F24" s="311">
        <v>2</v>
      </c>
      <c r="G24" s="173" t="s">
        <v>621</v>
      </c>
      <c r="H24" s="306">
        <v>7</v>
      </c>
      <c r="I24" s="160">
        <f>(F24*H24)/F9</f>
        <v>6.3726884779516352E-2</v>
      </c>
      <c r="J24" s="227">
        <f t="shared" si="0"/>
        <v>14</v>
      </c>
      <c r="K24" s="119">
        <f>J24*$F$6</f>
        <v>56</v>
      </c>
      <c r="L24" s="102"/>
      <c r="M24" s="162"/>
    </row>
    <row r="25" spans="2:16" ht="12.75" customHeight="1" x14ac:dyDescent="0.25">
      <c r="B25" s="116"/>
      <c r="C25" s="327" t="s">
        <v>6</v>
      </c>
      <c r="D25" s="327"/>
      <c r="E25" s="327"/>
      <c r="F25" s="138">
        <f>IF('Production Data'!G23='Drop Down Lists'!B19,0,1)</f>
        <v>1</v>
      </c>
      <c r="G25" s="173" t="s">
        <v>305</v>
      </c>
      <c r="H25" s="305">
        <v>20</v>
      </c>
      <c r="I25" s="160">
        <f>F25*H25/F9</f>
        <v>9.1038406827880516E-2</v>
      </c>
      <c r="J25" s="227">
        <f t="shared" si="0"/>
        <v>20</v>
      </c>
      <c r="K25" s="119">
        <f>J25*$F$6</f>
        <v>80</v>
      </c>
      <c r="L25" s="102"/>
      <c r="M25" s="162"/>
    </row>
    <row r="26" spans="2:16" ht="12.75" customHeight="1" x14ac:dyDescent="0.25">
      <c r="B26" s="116"/>
      <c r="C26" s="418" t="str">
        <f>IF(Processing!E4='Drop Down Lists'!B52,"Transportation, Marketing","Transportation, Processing &amp; Marketing")</f>
        <v>Transportation, Processing &amp; Marketing</v>
      </c>
      <c r="D26" s="418"/>
      <c r="E26" s="418"/>
      <c r="F26" s="120">
        <v>1</v>
      </c>
      <c r="G26" s="173" t="s">
        <v>305</v>
      </c>
      <c r="H26" s="135">
        <f>IF(Processing!$E$4='Drop Down Lists'!B52,Transportation!N55,IF(Transportation!F4='Drop Down Lists'!B59,IF(Transportation!D11='Drop Down Lists'!B30,Transportation!L55,Transportation!J55),Transportation!I55))</f>
        <v>150.84797297297297</v>
      </c>
      <c r="I26" s="160">
        <f t="shared" ref="I26:I35" si="1">F26*H26/$F$9</f>
        <v>0.6866479566337319</v>
      </c>
      <c r="J26" s="227">
        <f t="shared" si="0"/>
        <v>150.84797297297297</v>
      </c>
      <c r="K26" s="119">
        <f t="shared" ref="K26:K35" si="2">J26*$F$6</f>
        <v>603.39189189189187</v>
      </c>
      <c r="L26" s="55"/>
      <c r="M26" s="62" t="s">
        <v>433</v>
      </c>
    </row>
    <row r="27" spans="2:16" ht="12.75" customHeight="1" x14ac:dyDescent="0.25">
      <c r="B27" s="116"/>
      <c r="C27" s="418" t="str">
        <f>IF(Processing!E4="Local Processor","Processing","Misc. Processing Costs")</f>
        <v>Misc. Processing Costs</v>
      </c>
      <c r="D27" s="418"/>
      <c r="E27" s="418"/>
      <c r="F27" s="120">
        <v>1</v>
      </c>
      <c r="G27" s="173" t="s">
        <v>305</v>
      </c>
      <c r="H27" s="119">
        <f>IF(Processing!E4='Drop Down Lists'!B50,Processing!H16,IF(Processing!E4='Drop Down Lists'!B51,SUM(Processing!H22:H23,Processing!H27,Processing!H32),Processing!H40))</f>
        <v>222.265625</v>
      </c>
      <c r="I27" s="160">
        <f t="shared" si="1"/>
        <v>1.0117354196301565</v>
      </c>
      <c r="J27" s="227">
        <f t="shared" si="0"/>
        <v>222.265625</v>
      </c>
      <c r="K27" s="119">
        <f t="shared" si="2"/>
        <v>889.0625</v>
      </c>
      <c r="L27" s="55"/>
      <c r="M27" s="161"/>
    </row>
    <row r="28" spans="2:16" ht="12.75" customHeight="1" x14ac:dyDescent="0.25">
      <c r="B28" s="116"/>
      <c r="C28" s="327" t="s">
        <v>27</v>
      </c>
      <c r="D28" s="327"/>
      <c r="E28" s="327"/>
      <c r="F28" s="120">
        <v>1</v>
      </c>
      <c r="G28" s="173" t="s">
        <v>305</v>
      </c>
      <c r="H28" s="308">
        <v>10</v>
      </c>
      <c r="I28" s="160">
        <f t="shared" si="1"/>
        <v>4.5519203413940258E-2</v>
      </c>
      <c r="J28" s="227">
        <f t="shared" ref="J28:J35" si="3">F28*H28</f>
        <v>10</v>
      </c>
      <c r="K28" s="119">
        <f t="shared" si="2"/>
        <v>40</v>
      </c>
      <c r="L28" s="55"/>
      <c r="M28" s="184"/>
    </row>
    <row r="29" spans="2:16" ht="12.75" customHeight="1" x14ac:dyDescent="0.25">
      <c r="B29" s="116"/>
      <c r="C29" s="328" t="s">
        <v>421</v>
      </c>
      <c r="D29" s="329"/>
      <c r="E29" s="330"/>
      <c r="F29" s="120">
        <v>1</v>
      </c>
      <c r="G29" s="173" t="s">
        <v>620</v>
      </c>
      <c r="H29" s="308">
        <v>0</v>
      </c>
      <c r="I29" s="160">
        <f t="shared" si="1"/>
        <v>0</v>
      </c>
      <c r="J29" s="227">
        <f t="shared" si="3"/>
        <v>0</v>
      </c>
      <c r="K29" s="119">
        <f>J29*$F$6</f>
        <v>0</v>
      </c>
      <c r="L29" s="55"/>
      <c r="M29" s="162" t="s">
        <v>423</v>
      </c>
    </row>
    <row r="30" spans="2:16" ht="12.75" customHeight="1" x14ac:dyDescent="0.25">
      <c r="B30" s="116"/>
      <c r="C30" s="327" t="s">
        <v>303</v>
      </c>
      <c r="D30" s="327"/>
      <c r="E30" s="327"/>
      <c r="F30" s="120">
        <v>1</v>
      </c>
      <c r="G30" s="173" t="s">
        <v>305</v>
      </c>
      <c r="H30" s="308">
        <v>50</v>
      </c>
      <c r="I30" s="160">
        <f t="shared" si="1"/>
        <v>0.22759601706970128</v>
      </c>
      <c r="J30" s="227">
        <f t="shared" si="3"/>
        <v>50</v>
      </c>
      <c r="K30" s="119">
        <f t="shared" si="2"/>
        <v>200</v>
      </c>
      <c r="L30" s="55"/>
      <c r="M30" s="62" t="s">
        <v>325</v>
      </c>
    </row>
    <row r="31" spans="2:16" ht="12.75" customHeight="1" x14ac:dyDescent="0.25">
      <c r="B31" s="116"/>
      <c r="C31" s="418" t="s">
        <v>130</v>
      </c>
      <c r="D31" s="418"/>
      <c r="E31" s="418"/>
      <c r="F31" s="138">
        <f>IF('Production Data'!G9='Drop Down Lists'!B9,('Production Data'!G10*7*'Production Data'!G61)/60,('Production Data'!G61*Summary!C69)/60)</f>
        <v>23.333333333333332</v>
      </c>
      <c r="G31" s="173" t="s">
        <v>299</v>
      </c>
      <c r="H31" s="121">
        <f>IF('Production Data'!$G$59='Drop Down Lists'!B42,'Production Data'!$G$60,0)</f>
        <v>10</v>
      </c>
      <c r="I31" s="159">
        <f t="shared" si="1"/>
        <v>1.0621147463252725</v>
      </c>
      <c r="J31" s="119">
        <f>F31*H31</f>
        <v>233.33333333333331</v>
      </c>
      <c r="K31" s="119">
        <f t="shared" si="2"/>
        <v>933.33333333333326</v>
      </c>
      <c r="M31" s="36" t="str">
        <f>IF('Production Data'!$G$59='Drop Down Lists'!B43,"Labor is not included. Change in Production Data sheet.","")</f>
        <v/>
      </c>
    </row>
    <row r="32" spans="2:16" ht="12.75" customHeight="1" x14ac:dyDescent="0.25">
      <c r="B32" s="116"/>
      <c r="C32" s="418" t="str">
        <f>IF(Processing!E4='Drop Down Lists'!B52,"Transportation Labor, Marketing","Transportation Labor, Processing &amp; Marketing")</f>
        <v>Transportation Labor, Processing &amp; Marketing</v>
      </c>
      <c r="D32" s="418"/>
      <c r="E32" s="418"/>
      <c r="F32" s="138">
        <f>IF(Processing!$E$4='Drop Down Lists'!B52,Transportation!N56,IF(Transportation!F4='Drop Down Lists'!B59,IF(Transportation!D11='Drop Down Lists'!B30,Transportation!L56,Transportation!J56),Transportation!I56))</f>
        <v>3.75</v>
      </c>
      <c r="G32" s="173" t="s">
        <v>299</v>
      </c>
      <c r="H32" s="121">
        <f>IF('Production Data'!$G$59='Drop Down Lists'!B42,'Production Data'!$G$60,0)</f>
        <v>10</v>
      </c>
      <c r="I32" s="159">
        <f t="shared" si="1"/>
        <v>0.17069701280227595</v>
      </c>
      <c r="J32" s="119">
        <f>F32*H32</f>
        <v>37.5</v>
      </c>
      <c r="K32" s="119">
        <f t="shared" si="2"/>
        <v>150</v>
      </c>
      <c r="L32" s="55"/>
      <c r="M32" s="170" t="str">
        <f>IF('Production Data'!$G$59='Drop Down Lists'!B43,"Labor is not included. Change in Production Data sheet.","")</f>
        <v/>
      </c>
    </row>
    <row r="33" spans="2:16" ht="12.75" customHeight="1" x14ac:dyDescent="0.25">
      <c r="B33" s="116"/>
      <c r="C33" s="418" t="s">
        <v>131</v>
      </c>
      <c r="D33" s="418"/>
      <c r="E33" s="418"/>
      <c r="F33" s="138">
        <f>IF(Processing!E4='Drop Down Lists'!B51,Processing!E31,IF(Processing!E4='Drop Down Lists'!B52,Processing!E41,0))</f>
        <v>21</v>
      </c>
      <c r="G33" s="173" t="s">
        <v>299</v>
      </c>
      <c r="H33" s="121">
        <f>IF('Production Data'!G59='Drop Down Lists'!B43,0,IF(Processing!E4='Drop Down Lists'!B51,(((Processing!E31*Processing!G31)+(Processing!E32*Processing!G32))/SUM(Processing!E31:E32)),'Production Data'!G60))</f>
        <v>10</v>
      </c>
      <c r="I33" s="159">
        <f t="shared" si="1"/>
        <v>0.95590327169274536</v>
      </c>
      <c r="J33" s="119">
        <f>F33*H33</f>
        <v>210</v>
      </c>
      <c r="K33" s="119">
        <f t="shared" si="2"/>
        <v>840</v>
      </c>
      <c r="L33" s="55"/>
      <c r="M33" s="36" t="str">
        <f>IF('Production Data'!$G$59='Drop Down Lists'!B43,"Labor is not included. Change in Production Data sheet.","")</f>
        <v/>
      </c>
      <c r="N33" s="198"/>
    </row>
    <row r="34" spans="2:16" ht="12.75" customHeight="1" x14ac:dyDescent="0.25">
      <c r="B34" s="116"/>
      <c r="C34" s="327" t="s">
        <v>184</v>
      </c>
      <c r="D34" s="327"/>
      <c r="E34" s="327"/>
      <c r="F34" s="120">
        <f>'Production Data'!G63</f>
        <v>12.5</v>
      </c>
      <c r="G34" s="173" t="s">
        <v>299</v>
      </c>
      <c r="H34" s="121">
        <f>IF('Production Data'!$G$59='Drop Down Lists'!B42,'Production Data'!$G$60,0)</f>
        <v>10</v>
      </c>
      <c r="I34" s="159">
        <f t="shared" si="1"/>
        <v>0.56899004267425324</v>
      </c>
      <c r="J34" s="119">
        <f t="shared" si="3"/>
        <v>125</v>
      </c>
      <c r="K34" s="119">
        <f t="shared" si="2"/>
        <v>500</v>
      </c>
      <c r="L34" s="55"/>
      <c r="M34" s="62" t="str">
        <f>IF('Production Data'!$G$59='Drop Down Lists'!B43,"Labor is not included. Change in Production Data sheet.","")</f>
        <v/>
      </c>
    </row>
    <row r="35" spans="2:16" ht="12.75" customHeight="1" x14ac:dyDescent="0.25">
      <c r="B35" s="116"/>
      <c r="C35" s="327" t="s">
        <v>25</v>
      </c>
      <c r="D35" s="327"/>
      <c r="E35" s="327"/>
      <c r="F35" s="120">
        <v>1</v>
      </c>
      <c r="G35" s="173" t="s">
        <v>305</v>
      </c>
      <c r="H35" s="308">
        <v>50</v>
      </c>
      <c r="I35" s="160">
        <f t="shared" si="1"/>
        <v>0.22759601706970128</v>
      </c>
      <c r="J35" s="227">
        <f t="shared" si="3"/>
        <v>50</v>
      </c>
      <c r="K35" s="119">
        <f t="shared" si="2"/>
        <v>200</v>
      </c>
      <c r="L35" s="55"/>
      <c r="M35" s="161"/>
    </row>
    <row r="36" spans="2:16" ht="12.75" customHeight="1" x14ac:dyDescent="0.25">
      <c r="B36" s="410" t="s">
        <v>374</v>
      </c>
      <c r="C36" s="410"/>
      <c r="D36" s="410"/>
      <c r="E36" s="410"/>
      <c r="F36" s="410"/>
      <c r="G36" s="410"/>
      <c r="H36" s="410"/>
      <c r="I36" s="124">
        <f>SUM(I21:I35)</f>
        <v>12.655640370099828</v>
      </c>
      <c r="J36" s="228">
        <f>SUM(J21:J35)</f>
        <v>2780.2859938063061</v>
      </c>
      <c r="K36" s="119">
        <f>SUM(K21:K35)</f>
        <v>11121.143975225224</v>
      </c>
      <c r="L36" s="115"/>
      <c r="M36" s="170"/>
      <c r="N36" s="115"/>
      <c r="O36" s="115"/>
    </row>
    <row r="37" spans="2:16" ht="4.5" customHeight="1" x14ac:dyDescent="0.25">
      <c r="B37" s="419"/>
      <c r="C37" s="420"/>
      <c r="D37" s="420"/>
      <c r="E37" s="420"/>
      <c r="F37" s="420"/>
      <c r="G37" s="420"/>
      <c r="H37" s="420"/>
      <c r="I37" s="420"/>
      <c r="J37" s="420"/>
      <c r="K37" s="421"/>
      <c r="L37" s="115"/>
      <c r="M37" s="163"/>
    </row>
    <row r="38" spans="2:16" ht="12.75" customHeight="1" x14ac:dyDescent="0.25">
      <c r="B38" s="410" t="s">
        <v>253</v>
      </c>
      <c r="C38" s="410"/>
      <c r="D38" s="410"/>
      <c r="E38" s="410"/>
      <c r="F38" s="410"/>
      <c r="G38" s="410"/>
      <c r="H38" s="410"/>
      <c r="I38" s="410"/>
      <c r="J38" s="167">
        <f>J17-J36</f>
        <v>1221.5415061936942</v>
      </c>
      <c r="K38" s="167">
        <f>K17-K36</f>
        <v>4886.1660247747768</v>
      </c>
      <c r="L38" s="55"/>
      <c r="M38" s="163"/>
      <c r="N38" s="198"/>
      <c r="O38" s="198"/>
      <c r="P38" s="198"/>
    </row>
    <row r="39" spans="2:16" ht="4.5" customHeight="1" x14ac:dyDescent="0.25">
      <c r="B39" s="331"/>
      <c r="C39" s="332"/>
      <c r="D39" s="332"/>
      <c r="E39" s="332"/>
      <c r="F39" s="332"/>
      <c r="G39" s="332"/>
      <c r="H39" s="332"/>
      <c r="I39" s="332"/>
      <c r="J39" s="332"/>
      <c r="K39" s="333"/>
      <c r="M39" s="36"/>
    </row>
    <row r="40" spans="2:16" ht="25.5" x14ac:dyDescent="0.25">
      <c r="B40" s="324"/>
      <c r="C40" s="324"/>
      <c r="D40" s="324"/>
      <c r="E40" s="324"/>
      <c r="F40" s="118" t="s">
        <v>1</v>
      </c>
      <c r="G40" s="118" t="s">
        <v>2</v>
      </c>
      <c r="H40" s="118" t="s">
        <v>229</v>
      </c>
      <c r="I40" s="172" t="s">
        <v>623</v>
      </c>
      <c r="J40" s="118" t="s">
        <v>140</v>
      </c>
      <c r="K40" s="118" t="s">
        <v>359</v>
      </c>
      <c r="M40" s="33"/>
      <c r="N40" s="198"/>
      <c r="O40" s="198"/>
    </row>
    <row r="41" spans="2:16" ht="12.75" customHeight="1" x14ac:dyDescent="0.25">
      <c r="B41" s="410" t="s">
        <v>373</v>
      </c>
      <c r="C41" s="410"/>
      <c r="D41" s="410"/>
      <c r="E41" s="410"/>
      <c r="F41" s="422"/>
      <c r="G41" s="423"/>
      <c r="H41" s="423"/>
      <c r="I41" s="423"/>
      <c r="J41" s="423"/>
      <c r="K41" s="424"/>
      <c r="M41" s="36"/>
    </row>
    <row r="42" spans="2:16" ht="12.75" customHeight="1" x14ac:dyDescent="0.25">
      <c r="B42" s="116"/>
      <c r="C42" s="327" t="s">
        <v>316</v>
      </c>
      <c r="D42" s="327"/>
      <c r="E42" s="327"/>
      <c r="F42" s="120">
        <v>1</v>
      </c>
      <c r="G42" s="173" t="s">
        <v>305</v>
      </c>
      <c r="H42" s="119">
        <f>SUM('Depreciable Items'!M11:M17)</f>
        <v>75.700476235909989</v>
      </c>
      <c r="I42" s="160">
        <f t="shared" ref="I42:I47" si="4">F42*H42/$F$9</f>
        <v>0.34458253763145374</v>
      </c>
      <c r="J42" s="119">
        <f t="shared" ref="J42:J47" si="5">F42*H42</f>
        <v>75.700476235909989</v>
      </c>
      <c r="K42" s="119">
        <f t="shared" ref="K42:K47" si="6">J42*$F$6</f>
        <v>302.80190494363995</v>
      </c>
      <c r="M42" s="36" t="s">
        <v>320</v>
      </c>
    </row>
    <row r="43" spans="2:16" ht="12.75" customHeight="1" x14ac:dyDescent="0.25">
      <c r="B43" s="116"/>
      <c r="C43" s="327" t="s">
        <v>315</v>
      </c>
      <c r="D43" s="327"/>
      <c r="E43" s="327"/>
      <c r="F43" s="120">
        <v>1</v>
      </c>
      <c r="G43" s="173" t="s">
        <v>305</v>
      </c>
      <c r="H43" s="119">
        <f>SUM('Depreciable Items'!M18:M22,'Depreciable Items'!M24)</f>
        <v>24.106160563109256</v>
      </c>
      <c r="I43" s="160">
        <f t="shared" si="4"/>
        <v>0.10972932262012748</v>
      </c>
      <c r="J43" s="119">
        <f t="shared" si="5"/>
        <v>24.106160563109256</v>
      </c>
      <c r="K43" s="119">
        <f t="shared" si="6"/>
        <v>96.424642252437025</v>
      </c>
      <c r="L43" s="55"/>
      <c r="M43" s="36" t="s">
        <v>422</v>
      </c>
    </row>
    <row r="44" spans="2:16" ht="12.75" customHeight="1" x14ac:dyDescent="0.25">
      <c r="B44" s="116"/>
      <c r="C44" s="327" t="s">
        <v>318</v>
      </c>
      <c r="D44" s="327"/>
      <c r="E44" s="327"/>
      <c r="F44" s="120">
        <v>1</v>
      </c>
      <c r="G44" s="173" t="s">
        <v>305</v>
      </c>
      <c r="H44" s="119">
        <f>'Depreciable Items'!M23</f>
        <v>0</v>
      </c>
      <c r="I44" s="160">
        <f t="shared" si="4"/>
        <v>0</v>
      </c>
      <c r="J44" s="119">
        <f t="shared" si="5"/>
        <v>0</v>
      </c>
      <c r="K44" s="119">
        <f t="shared" si="6"/>
        <v>0</v>
      </c>
      <c r="L44" s="55"/>
      <c r="M44" s="62" t="s">
        <v>321</v>
      </c>
    </row>
    <row r="45" spans="2:16" ht="12.75" customHeight="1" x14ac:dyDescent="0.25">
      <c r="B45" s="116"/>
      <c r="C45" s="327" t="s">
        <v>317</v>
      </c>
      <c r="D45" s="327"/>
      <c r="E45" s="327"/>
      <c r="F45" s="120">
        <v>1</v>
      </c>
      <c r="G45" s="173" t="s">
        <v>305</v>
      </c>
      <c r="H45" s="119">
        <f>SUM('Depreciable Items'!M29:M37,'Depreciable Items'!M40)</f>
        <v>29.614338746203124</v>
      </c>
      <c r="I45" s="160">
        <f t="shared" si="4"/>
        <v>0.13480211093577524</v>
      </c>
      <c r="J45" s="119">
        <f t="shared" si="5"/>
        <v>29.614338746203124</v>
      </c>
      <c r="K45" s="119">
        <f t="shared" si="6"/>
        <v>118.4573549848125</v>
      </c>
      <c r="L45" s="55"/>
      <c r="M45" s="36" t="s">
        <v>230</v>
      </c>
    </row>
    <row r="46" spans="2:16" ht="12.75" customHeight="1" x14ac:dyDescent="0.25">
      <c r="B46" s="116"/>
      <c r="C46" s="327" t="s">
        <v>319</v>
      </c>
      <c r="D46" s="327"/>
      <c r="E46" s="327"/>
      <c r="F46" s="120">
        <v>1</v>
      </c>
      <c r="G46" s="173" t="s">
        <v>305</v>
      </c>
      <c r="H46" s="119">
        <f>SUM('Depreciable Items'!M38:M39)</f>
        <v>71.247916666666669</v>
      </c>
      <c r="I46" s="160">
        <f t="shared" si="4"/>
        <v>0.32431484115694642</v>
      </c>
      <c r="J46" s="119">
        <f t="shared" si="5"/>
        <v>71.247916666666669</v>
      </c>
      <c r="K46" s="119">
        <f t="shared" si="6"/>
        <v>284.99166666666667</v>
      </c>
      <c r="L46" s="55"/>
      <c r="M46" s="36" t="s">
        <v>424</v>
      </c>
    </row>
    <row r="47" spans="2:16" ht="12.75" customHeight="1" x14ac:dyDescent="0.25">
      <c r="B47" s="116"/>
      <c r="C47" s="327" t="s">
        <v>25</v>
      </c>
      <c r="D47" s="327"/>
      <c r="E47" s="327"/>
      <c r="F47" s="120">
        <v>1</v>
      </c>
      <c r="G47" s="173" t="s">
        <v>305</v>
      </c>
      <c r="H47" s="308">
        <v>10</v>
      </c>
      <c r="I47" s="160">
        <f t="shared" si="4"/>
        <v>4.5519203413940258E-2</v>
      </c>
      <c r="J47" s="119">
        <f t="shared" si="5"/>
        <v>10</v>
      </c>
      <c r="K47" s="119">
        <f t="shared" si="6"/>
        <v>40</v>
      </c>
      <c r="M47" s="36" t="s">
        <v>231</v>
      </c>
    </row>
    <row r="48" spans="2:16" ht="12.75" customHeight="1" x14ac:dyDescent="0.25">
      <c r="B48" s="410" t="s">
        <v>372</v>
      </c>
      <c r="C48" s="410"/>
      <c r="D48" s="410"/>
      <c r="E48" s="410"/>
      <c r="F48" s="410"/>
      <c r="G48" s="410"/>
      <c r="H48" s="410"/>
      <c r="I48" s="124">
        <f>SUM(I42:I47)</f>
        <v>0.95894801575824307</v>
      </c>
      <c r="J48" s="167">
        <f>SUM(J42:J47)</f>
        <v>210.66889221188904</v>
      </c>
      <c r="K48" s="119">
        <f>SUM(K42:K47)</f>
        <v>842.67556884755618</v>
      </c>
      <c r="L48" s="55"/>
      <c r="M48" s="163"/>
    </row>
    <row r="49" spans="2:14" ht="4.5" customHeight="1" x14ac:dyDescent="0.25">
      <c r="B49" s="331"/>
      <c r="C49" s="332"/>
      <c r="D49" s="332"/>
      <c r="E49" s="332"/>
      <c r="F49" s="332"/>
      <c r="G49" s="332"/>
      <c r="H49" s="332"/>
      <c r="I49" s="332"/>
      <c r="J49" s="332"/>
      <c r="K49" s="333"/>
      <c r="L49" s="55"/>
      <c r="M49" s="36"/>
    </row>
    <row r="50" spans="2:14" ht="12.75" customHeight="1" x14ac:dyDescent="0.25">
      <c r="B50" s="410" t="s">
        <v>371</v>
      </c>
      <c r="C50" s="410"/>
      <c r="D50" s="410"/>
      <c r="E50" s="410"/>
      <c r="F50" s="410"/>
      <c r="G50" s="410"/>
      <c r="H50" s="410"/>
      <c r="I50" s="124">
        <f>I36+I48</f>
        <v>13.61458838585807</v>
      </c>
      <c r="J50" s="167">
        <f>J36+J48</f>
        <v>2990.9548860181953</v>
      </c>
      <c r="K50" s="167">
        <f>K36+K48</f>
        <v>11963.819544072781</v>
      </c>
      <c r="L50" s="55"/>
      <c r="M50" s="163"/>
    </row>
    <row r="51" spans="2:14" ht="12.75" customHeight="1" x14ac:dyDescent="0.25">
      <c r="B51" s="331"/>
      <c r="C51" s="332"/>
      <c r="D51" s="332"/>
      <c r="E51" s="332"/>
      <c r="F51" s="332"/>
      <c r="G51" s="332"/>
      <c r="H51" s="332"/>
      <c r="I51" s="332"/>
      <c r="J51" s="332"/>
      <c r="K51" s="333"/>
      <c r="L51" s="55"/>
      <c r="M51" s="36"/>
    </row>
    <row r="52" spans="2:14" ht="12.75" customHeight="1" x14ac:dyDescent="0.25">
      <c r="B52" s="331"/>
      <c r="C52" s="332"/>
      <c r="D52" s="332"/>
      <c r="E52" s="332"/>
      <c r="F52" s="332"/>
      <c r="G52" s="332"/>
      <c r="H52" s="332"/>
      <c r="I52" s="118" t="s">
        <v>632</v>
      </c>
      <c r="J52" s="118" t="s">
        <v>633</v>
      </c>
      <c r="K52" s="118" t="s">
        <v>634</v>
      </c>
      <c r="L52" s="55"/>
      <c r="M52" s="36"/>
    </row>
    <row r="53" spans="2:14" ht="12.75" customHeight="1" x14ac:dyDescent="0.25">
      <c r="B53" s="404" t="str">
        <f>IF('Production Data'!G59='Drop Down Lists'!B42,"NET PROFIT (including labor)","NET PROFIT (not including labor)")</f>
        <v>NET PROFIT (including labor)</v>
      </c>
      <c r="C53" s="405"/>
      <c r="D53" s="405"/>
      <c r="E53" s="405"/>
      <c r="F53" s="405"/>
      <c r="G53" s="405"/>
      <c r="H53" s="406"/>
      <c r="I53" s="229">
        <f>J53/F9</f>
        <v>4.601411614141929</v>
      </c>
      <c r="J53" s="154">
        <f>J17-J50</f>
        <v>1010.872613981805</v>
      </c>
      <c r="K53" s="154">
        <f>K17-K50</f>
        <v>4043.49045592722</v>
      </c>
      <c r="L53" s="55"/>
      <c r="M53" s="163"/>
      <c r="N53" s="115"/>
    </row>
    <row r="54" spans="2:14" ht="12.75" customHeight="1" x14ac:dyDescent="0.25">
      <c r="B54" s="331"/>
      <c r="C54" s="332"/>
      <c r="D54" s="332"/>
      <c r="E54" s="332"/>
      <c r="F54" s="332"/>
      <c r="G54" s="332"/>
      <c r="H54" s="332"/>
      <c r="I54" s="332"/>
      <c r="J54" s="332"/>
      <c r="K54" s="333"/>
      <c r="M54" s="36"/>
    </row>
    <row r="55" spans="2:14" ht="12.75" customHeight="1" x14ac:dyDescent="0.25">
      <c r="B55" s="407" t="str">
        <f>IF('Production Data'!G59='Drop Down Lists'!B42,"Breakeven Price per Processed Pound over Variable Costs (including labor)","Breakeven Price per Processed Pound over Variable Costs (not including labor)")</f>
        <v>Breakeven Price per Processed Pound over Variable Costs (including labor)</v>
      </c>
      <c r="C55" s="408"/>
      <c r="D55" s="408"/>
      <c r="E55" s="408"/>
      <c r="F55" s="408"/>
      <c r="G55" s="408"/>
      <c r="H55" s="408"/>
      <c r="I55" s="408"/>
      <c r="J55" s="409"/>
      <c r="K55" s="229">
        <f>J36/G17</f>
        <v>3.3640724003455151</v>
      </c>
      <c r="M55" s="36"/>
    </row>
    <row r="56" spans="2:14" ht="12.75" customHeight="1" x14ac:dyDescent="0.25">
      <c r="B56" s="410" t="str">
        <f>IF('Production Data'!G59='Drop Down Lists'!B42,"Breakeven Price per Processed Pound over All Costs (including labor)","Breakeven Price per Processed Pound over All Costs (not including labor)")</f>
        <v>Breakeven Price per Processed Pound over All Costs (including labor)</v>
      </c>
      <c r="C56" s="410"/>
      <c r="D56" s="410"/>
      <c r="E56" s="410"/>
      <c r="F56" s="410"/>
      <c r="G56" s="410"/>
      <c r="H56" s="410"/>
      <c r="I56" s="410"/>
      <c r="J56" s="410"/>
      <c r="K56" s="229">
        <f>J50/G17</f>
        <v>3.6189761791222947</v>
      </c>
      <c r="M56" s="36"/>
    </row>
    <row r="57" spans="2:14" ht="12.75" customHeight="1" x14ac:dyDescent="0.25">
      <c r="B57" s="331"/>
      <c r="C57" s="332"/>
      <c r="D57" s="332"/>
      <c r="E57" s="332"/>
      <c r="F57" s="332"/>
      <c r="G57" s="332"/>
      <c r="H57" s="332"/>
      <c r="I57" s="332"/>
      <c r="J57" s="332"/>
      <c r="K57" s="333"/>
      <c r="M57" s="36"/>
    </row>
    <row r="58" spans="2:14" ht="12.75" customHeight="1" x14ac:dyDescent="0.25"/>
    <row r="59" spans="2:14" ht="12.75" customHeight="1" x14ac:dyDescent="0.25"/>
    <row r="60" spans="2:14" ht="12.75" customHeight="1" x14ac:dyDescent="0.25"/>
    <row r="61" spans="2:14" ht="12.75" customHeight="1" x14ac:dyDescent="0.25"/>
    <row r="69" spans="3:4" hidden="1" x14ac:dyDescent="0.25">
      <c r="C69" s="247">
        <f>IF('Production Data'!G9='Drop Down Lists'!B4, 'Production Data'!D71, IF('Production Data'!G9='Drop Down Lists'!B5,'Production Data'!D72,IF('Production Data'!G9='Drop Down Lists'!B6,'Production Data'!D73,IF('Production Data'!G9='Drop Down Lists'!B7,'Production Data'!D74,IF('Production Data'!G9='Drop Down Lists'!B8,'Production Data'!D75,'Production Data'!D76)))))</f>
        <v>70</v>
      </c>
      <c r="D69" s="30" t="s">
        <v>416</v>
      </c>
    </row>
  </sheetData>
  <sheetProtection algorithmName="SHA-512" hashValue="fsbRt7pmtSlpSqD/2pGLP3P/qxB8tB86ABzZTBqxw3oK5ZsngJxzjYTDBKSxu41fRCZXBFADvSOKgXvsX6Usag==" saltValue="RxERF0MxDwjR7qQis/5bDA==" spinCount="100000" sheet="1" objects="1" scenarios="1" formatCells="0" formatColumns="0" formatRows="0"/>
  <customSheetViews>
    <customSheetView guid="{02D6CAA4-1939-49F0-A08C-119793CA9847}" state="hidden" topLeftCell="A16">
      <selection activeCell="I42" sqref="I42"/>
      <pageMargins left="0.7" right="0.7" top="0.75" bottom="0.75" header="0.3" footer="0.3"/>
      <pageSetup orientation="portrait"/>
    </customSheetView>
  </customSheetViews>
  <mergeCells count="66">
    <mergeCell ref="C44:E44"/>
    <mergeCell ref="C42:E42"/>
    <mergeCell ref="B41:E41"/>
    <mergeCell ref="F41:K41"/>
    <mergeCell ref="C33:E33"/>
    <mergeCell ref="C34:E34"/>
    <mergeCell ref="B36:H36"/>
    <mergeCell ref="B48:H48"/>
    <mergeCell ref="C43:E43"/>
    <mergeCell ref="C47:E47"/>
    <mergeCell ref="C46:E46"/>
    <mergeCell ref="B19:E19"/>
    <mergeCell ref="B40:E40"/>
    <mergeCell ref="C35:E35"/>
    <mergeCell ref="B39:K39"/>
    <mergeCell ref="B37:K37"/>
    <mergeCell ref="B38:I38"/>
    <mergeCell ref="C21:E21"/>
    <mergeCell ref="B20:E20"/>
    <mergeCell ref="F20:K20"/>
    <mergeCell ref="C29:E29"/>
    <mergeCell ref="C45:E45"/>
    <mergeCell ref="C22:E22"/>
    <mergeCell ref="H5:J5"/>
    <mergeCell ref="H6:J6"/>
    <mergeCell ref="H9:J9"/>
    <mergeCell ref="H8:J8"/>
    <mergeCell ref="H7:J7"/>
    <mergeCell ref="B17:E17"/>
    <mergeCell ref="B13:E13"/>
    <mergeCell ref="C32:E32"/>
    <mergeCell ref="C15:E15"/>
    <mergeCell ref="C14:E14"/>
    <mergeCell ref="C26:E26"/>
    <mergeCell ref="C28:E28"/>
    <mergeCell ref="C23:E23"/>
    <mergeCell ref="C24:E24"/>
    <mergeCell ref="C31:E31"/>
    <mergeCell ref="C25:E25"/>
    <mergeCell ref="C30:E30"/>
    <mergeCell ref="C27:E27"/>
    <mergeCell ref="B2:K2"/>
    <mergeCell ref="F4:K4"/>
    <mergeCell ref="B18:K18"/>
    <mergeCell ref="B11:K11"/>
    <mergeCell ref="B16:K16"/>
    <mergeCell ref="F13:K13"/>
    <mergeCell ref="B10:E10"/>
    <mergeCell ref="B8:E8"/>
    <mergeCell ref="B7:E7"/>
    <mergeCell ref="B6:E6"/>
    <mergeCell ref="B5:E5"/>
    <mergeCell ref="B9:E9"/>
    <mergeCell ref="B3:K3"/>
    <mergeCell ref="B12:E12"/>
    <mergeCell ref="H10:J10"/>
    <mergeCell ref="B4:E4"/>
    <mergeCell ref="B57:K57"/>
    <mergeCell ref="B54:K54"/>
    <mergeCell ref="B51:K51"/>
    <mergeCell ref="B49:K49"/>
    <mergeCell ref="B53:H53"/>
    <mergeCell ref="B52:H52"/>
    <mergeCell ref="B55:J55"/>
    <mergeCell ref="B56:J56"/>
    <mergeCell ref="B50:H50"/>
  </mergeCells>
  <pageMargins left="0.7" right="0.7" top="0.75" bottom="0.75" header="0.3" footer="0.3"/>
  <pageSetup scale="85" orientation="portrait" horizontalDpi="4294967295" verticalDpi="4294967295" r:id="rId1"/>
  <legacyDrawing r:id="rId2"/>
  <extLst>
    <ext xmlns:x14="http://schemas.microsoft.com/office/spreadsheetml/2009/9/main" uri="{78C0D931-6437-407d-A8EE-F0AAD7539E65}">
      <x14:conditionalFormattings>
        <x14:conditionalFormatting xmlns:xm="http://schemas.microsoft.com/office/excel/2006/main">
          <x14:cfRule type="expression" priority="209" id="{3B64B048-9FF9-46EB-ADD3-79542C92D438}">
            <xm:f>'Production Data'!$G$23='Drop Down Lists'!$B$19</xm:f>
            <x14:dxf>
              <font>
                <color theme="0"/>
              </font>
            </x14:dxf>
          </x14:cfRule>
          <xm:sqref>C25:K25</xm:sqref>
        </x14:conditionalFormatting>
        <x14:conditionalFormatting xmlns:xm="http://schemas.microsoft.com/office/excel/2006/main">
          <x14:cfRule type="expression" priority="263" id="{A2112E36-DC36-4203-9562-ABB0532E3068}">
            <xm:f>Processing!$E$4='Drop Down Lists'!$B$50</xm:f>
            <x14:dxf>
              <font>
                <color theme="0"/>
              </font>
            </x14:dxf>
          </x14:cfRule>
          <xm:sqref>C33:K33 C44:K44 M44 C46:K46 M46</xm:sqref>
        </x14:conditionalFormatting>
        <x14:conditionalFormatting xmlns:xm="http://schemas.microsoft.com/office/excel/2006/main">
          <x14:cfRule type="expression" priority="268" id="{2F71402A-FD34-4164-A5FD-BF9562EFC8AE}">
            <xm:f>Processing!$E$4='Drop Down Lists'!$B$51</xm:f>
            <x14:dxf>
              <font>
                <color theme="0"/>
              </font>
            </x14:dxf>
          </x14:cfRule>
          <xm:sqref>C44:K44 M44</xm:sqref>
        </x14:conditionalFormatting>
        <x14:conditionalFormatting xmlns:xm="http://schemas.microsoft.com/office/excel/2006/main">
          <x14:cfRule type="expression" priority="237" id="{7CFC6431-60A5-4E35-ADC8-2D4899F15472}">
            <xm:f>'Production Data'!$G$59='Drop Down Lists'!$B$43</xm:f>
            <x14:dxf>
              <font>
                <color theme="0"/>
              </font>
            </x14:dxf>
          </x14:cfRule>
          <xm:sqref>F31:K34</xm:sqref>
        </x14:conditionalFormatting>
        <x14:conditionalFormatting xmlns:xm="http://schemas.microsoft.com/office/excel/2006/main">
          <x14:cfRule type="expression" priority="236" id="{099F87EE-FEB7-407A-8CF1-05A98AAD1B5A}">
            <xm:f>'Production Data'!$G$59='Drop Down Lists'!$B$43</xm:f>
            <x14:dxf>
              <font>
                <color rgb="FFFF0000"/>
              </font>
            </x14:dxf>
          </x14:cfRule>
          <xm:sqref>M31:M34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dimension ref="B2:N75"/>
  <sheetViews>
    <sheetView topLeftCell="A49" zoomScaleNormal="100" workbookViewId="0">
      <selection activeCell="B76" sqref="B76"/>
    </sheetView>
  </sheetViews>
  <sheetFormatPr defaultRowHeight="12.75" x14ac:dyDescent="0.2"/>
  <cols>
    <col min="1" max="1" width="9.140625" style="31"/>
    <col min="2" max="2" width="45" style="31" bestFit="1" customWidth="1"/>
    <col min="3" max="3" width="16" style="258" bestFit="1" customWidth="1"/>
    <col min="4" max="4" width="15.7109375" style="258" bestFit="1" customWidth="1"/>
    <col min="5" max="5" width="117.5703125" style="259" bestFit="1" customWidth="1"/>
    <col min="6" max="6" width="20.42578125" style="31" bestFit="1" customWidth="1"/>
    <col min="7" max="7" width="9" style="31" customWidth="1"/>
    <col min="8" max="16384" width="9.140625" style="31"/>
  </cols>
  <sheetData>
    <row r="2" spans="2:12" ht="15.75" x14ac:dyDescent="0.25">
      <c r="B2" s="265" t="s">
        <v>449</v>
      </c>
      <c r="C2" s="266" t="s">
        <v>450</v>
      </c>
      <c r="D2" s="266" t="s">
        <v>451</v>
      </c>
      <c r="E2" s="267" t="s">
        <v>464</v>
      </c>
    </row>
    <row r="3" spans="2:12" s="260" customFormat="1" ht="4.5" customHeight="1" x14ac:dyDescent="0.2">
      <c r="C3" s="261"/>
      <c r="D3" s="261"/>
      <c r="E3" s="262"/>
      <c r="G3" s="263"/>
      <c r="I3" s="263"/>
    </row>
    <row r="4" spans="2:12" x14ac:dyDescent="0.2">
      <c r="B4" s="30" t="s">
        <v>345</v>
      </c>
      <c r="C4" s="258" t="s">
        <v>448</v>
      </c>
      <c r="D4" s="258" t="s">
        <v>452</v>
      </c>
      <c r="E4" s="259" t="s">
        <v>453</v>
      </c>
      <c r="G4" s="30"/>
      <c r="I4" s="30"/>
    </row>
    <row r="5" spans="2:12" x14ac:dyDescent="0.2">
      <c r="B5" s="30" t="s">
        <v>344</v>
      </c>
      <c r="E5" s="259" t="s">
        <v>454</v>
      </c>
      <c r="G5" s="30"/>
      <c r="I5" s="30"/>
    </row>
    <row r="6" spans="2:12" x14ac:dyDescent="0.2">
      <c r="B6" s="30" t="s">
        <v>12</v>
      </c>
      <c r="G6" s="30"/>
      <c r="I6" s="30"/>
    </row>
    <row r="7" spans="2:12" x14ac:dyDescent="0.2">
      <c r="B7" s="30" t="s">
        <v>264</v>
      </c>
      <c r="G7" s="30"/>
      <c r="I7" s="30"/>
    </row>
    <row r="8" spans="2:12" x14ac:dyDescent="0.2">
      <c r="B8" s="30" t="s">
        <v>262</v>
      </c>
      <c r="G8" s="30"/>
      <c r="I8" s="30"/>
    </row>
    <row r="9" spans="2:12" x14ac:dyDescent="0.2">
      <c r="B9" s="30" t="s">
        <v>25</v>
      </c>
      <c r="F9" s="30"/>
      <c r="G9" s="30"/>
      <c r="I9" s="30"/>
    </row>
    <row r="10" spans="2:12" s="260" customFormat="1" ht="4.5" customHeight="1" x14ac:dyDescent="0.2">
      <c r="C10" s="261"/>
      <c r="D10" s="261"/>
      <c r="E10" s="262"/>
      <c r="G10" s="263"/>
      <c r="I10" s="263"/>
    </row>
    <row r="11" spans="2:12" x14ac:dyDescent="0.2">
      <c r="B11" s="30" t="s">
        <v>293</v>
      </c>
      <c r="C11" s="258" t="s">
        <v>448</v>
      </c>
      <c r="D11" s="258" t="s">
        <v>474</v>
      </c>
      <c r="E11" s="259" t="s">
        <v>476</v>
      </c>
      <c r="I11" s="30"/>
    </row>
    <row r="12" spans="2:12" x14ac:dyDescent="0.2">
      <c r="B12" s="30" t="s">
        <v>158</v>
      </c>
      <c r="C12" s="258" t="s">
        <v>448</v>
      </c>
      <c r="D12" s="258" t="s">
        <v>475</v>
      </c>
      <c r="E12" s="259" t="s">
        <v>477</v>
      </c>
      <c r="I12" s="30"/>
      <c r="L12" s="30"/>
    </row>
    <row r="13" spans="2:12" x14ac:dyDescent="0.2">
      <c r="B13" s="30"/>
      <c r="E13" s="259" t="s">
        <v>514</v>
      </c>
      <c r="I13" s="30"/>
      <c r="L13" s="30"/>
    </row>
    <row r="14" spans="2:12" s="260" customFormat="1" ht="4.5" customHeight="1" x14ac:dyDescent="0.2">
      <c r="C14" s="261"/>
      <c r="D14" s="261"/>
      <c r="E14" s="262"/>
      <c r="F14" s="263"/>
      <c r="I14" s="263"/>
    </row>
    <row r="15" spans="2:12" x14ac:dyDescent="0.2">
      <c r="B15" s="31" t="str">
        <f>IF('Production Data'!G9='Drop Down Lists'!B9,"-","Estimated")</f>
        <v>Estimated</v>
      </c>
      <c r="C15" s="258" t="s">
        <v>448</v>
      </c>
      <c r="D15" s="258" t="s">
        <v>455</v>
      </c>
      <c r="E15" s="259" t="s">
        <v>456</v>
      </c>
    </row>
    <row r="16" spans="2:12" x14ac:dyDescent="0.2">
      <c r="B16" s="31" t="s">
        <v>158</v>
      </c>
      <c r="C16" s="258" t="s">
        <v>448</v>
      </c>
      <c r="D16" s="258" t="s">
        <v>466</v>
      </c>
      <c r="E16" s="259" t="s">
        <v>467</v>
      </c>
    </row>
    <row r="17" spans="2:9" x14ac:dyDescent="0.2">
      <c r="E17" s="259" t="s">
        <v>468</v>
      </c>
    </row>
    <row r="18" spans="2:9" s="260" customFormat="1" ht="4.5" customHeight="1" x14ac:dyDescent="0.2">
      <c r="C18" s="261"/>
      <c r="D18" s="261"/>
      <c r="E18" s="262"/>
      <c r="F18" s="263"/>
    </row>
    <row r="19" spans="2:9" x14ac:dyDescent="0.2">
      <c r="B19" s="30" t="s">
        <v>112</v>
      </c>
      <c r="C19" s="258" t="s">
        <v>448</v>
      </c>
      <c r="D19" s="258" t="s">
        <v>457</v>
      </c>
      <c r="E19" s="259" t="s">
        <v>458</v>
      </c>
    </row>
    <row r="20" spans="2:9" x14ac:dyDescent="0.2">
      <c r="B20" s="30" t="s">
        <v>113</v>
      </c>
      <c r="I20" s="30"/>
    </row>
    <row r="21" spans="2:9" s="260" customFormat="1" ht="4.5" customHeight="1" x14ac:dyDescent="0.2">
      <c r="C21" s="261"/>
      <c r="D21" s="261"/>
      <c r="E21" s="262"/>
    </row>
    <row r="22" spans="2:9" x14ac:dyDescent="0.2">
      <c r="B22" s="31" t="s">
        <v>114</v>
      </c>
      <c r="C22" s="258" t="s">
        <v>448</v>
      </c>
      <c r="D22" s="258" t="s">
        <v>459</v>
      </c>
      <c r="E22" s="259" t="s">
        <v>460</v>
      </c>
    </row>
    <row r="23" spans="2:9" x14ac:dyDescent="0.2">
      <c r="B23" s="31" t="s">
        <v>115</v>
      </c>
      <c r="E23" s="259" t="s">
        <v>461</v>
      </c>
      <c r="F23" s="30"/>
    </row>
    <row r="24" spans="2:9" s="260" customFormat="1" ht="4.5" customHeight="1" x14ac:dyDescent="0.2">
      <c r="C24" s="261"/>
      <c r="D24" s="261"/>
      <c r="E24" s="262"/>
      <c r="F24" s="263"/>
    </row>
    <row r="25" spans="2:9" x14ac:dyDescent="0.2">
      <c r="B25" s="31" t="s">
        <v>117</v>
      </c>
      <c r="C25" s="258" t="s">
        <v>448</v>
      </c>
      <c r="D25" s="258" t="s">
        <v>462</v>
      </c>
      <c r="E25" s="259" t="s">
        <v>463</v>
      </c>
      <c r="F25" s="30"/>
    </row>
    <row r="26" spans="2:9" x14ac:dyDescent="0.2">
      <c r="B26" s="31" t="s">
        <v>20</v>
      </c>
      <c r="E26" s="259" t="s">
        <v>482</v>
      </c>
      <c r="F26" s="30"/>
      <c r="G26" s="264" t="s">
        <v>116</v>
      </c>
    </row>
    <row r="27" spans="2:9" x14ac:dyDescent="0.2">
      <c r="B27" s="31" t="str">
        <f>IF('Production Data'!G23='Drop Down Lists'!B19,G26,"-")</f>
        <v>-</v>
      </c>
      <c r="E27" s="259" t="s">
        <v>483</v>
      </c>
      <c r="G27" s="264" t="s">
        <v>120</v>
      </c>
    </row>
    <row r="28" spans="2:9" x14ac:dyDescent="0.2">
      <c r="B28" s="31" t="str">
        <f>IF('Production Data'!G23='Drop Down Lists'!B19,G27,"-")</f>
        <v>-</v>
      </c>
      <c r="E28" s="259" t="s">
        <v>465</v>
      </c>
    </row>
    <row r="29" spans="2:9" s="260" customFormat="1" ht="4.5" customHeight="1" x14ac:dyDescent="0.2">
      <c r="C29" s="261"/>
      <c r="D29" s="261"/>
      <c r="E29" s="262"/>
    </row>
    <row r="30" spans="2:9" x14ac:dyDescent="0.2">
      <c r="B30" s="31" t="s">
        <v>239</v>
      </c>
      <c r="C30" s="258" t="s">
        <v>493</v>
      </c>
      <c r="D30" s="258" t="s">
        <v>499</v>
      </c>
      <c r="E30" s="259" t="s">
        <v>500</v>
      </c>
    </row>
    <row r="31" spans="2:9" x14ac:dyDescent="0.2">
      <c r="B31" s="31" t="s">
        <v>240</v>
      </c>
      <c r="C31" s="258" t="s">
        <v>493</v>
      </c>
      <c r="D31" s="258" t="s">
        <v>501</v>
      </c>
      <c r="E31" s="259" t="s">
        <v>504</v>
      </c>
    </row>
    <row r="32" spans="2:9" x14ac:dyDescent="0.2">
      <c r="C32" s="258" t="s">
        <v>493</v>
      </c>
      <c r="D32" s="258" t="s">
        <v>502</v>
      </c>
      <c r="E32" s="259" t="s">
        <v>503</v>
      </c>
    </row>
    <row r="33" spans="2:14" x14ac:dyDescent="0.2">
      <c r="E33" s="259" t="s">
        <v>505</v>
      </c>
    </row>
    <row r="34" spans="2:14" s="260" customFormat="1" ht="4.5" customHeight="1" x14ac:dyDescent="0.2">
      <c r="C34" s="261"/>
      <c r="D34" s="261"/>
      <c r="E34" s="262"/>
      <c r="N34" s="260">
        <v>50</v>
      </c>
    </row>
    <row r="35" spans="2:14" x14ac:dyDescent="0.2">
      <c r="B35" s="30" t="s">
        <v>124</v>
      </c>
      <c r="C35" s="258" t="s">
        <v>448</v>
      </c>
      <c r="D35" s="258" t="s">
        <v>469</v>
      </c>
      <c r="E35" s="259" t="s">
        <v>470</v>
      </c>
    </row>
    <row r="36" spans="2:14" x14ac:dyDescent="0.2">
      <c r="B36" s="30" t="s">
        <v>102</v>
      </c>
    </row>
    <row r="37" spans="2:14" s="260" customFormat="1" ht="4.5" customHeight="1" x14ac:dyDescent="0.2">
      <c r="C37" s="261"/>
      <c r="D37" s="261"/>
      <c r="E37" s="262"/>
      <c r="N37" s="260" t="s">
        <v>419</v>
      </c>
    </row>
    <row r="38" spans="2:14" x14ac:dyDescent="0.2">
      <c r="B38" s="30" t="s">
        <v>21</v>
      </c>
      <c r="C38" s="258" t="s">
        <v>448</v>
      </c>
      <c r="D38" s="258" t="s">
        <v>471</v>
      </c>
      <c r="E38" s="259" t="s">
        <v>472</v>
      </c>
    </row>
    <row r="39" spans="2:14" x14ac:dyDescent="0.2">
      <c r="B39" s="30" t="s">
        <v>22</v>
      </c>
      <c r="E39" s="259" t="s">
        <v>473</v>
      </c>
    </row>
    <row r="40" spans="2:14" x14ac:dyDescent="0.2">
      <c r="B40" s="30" t="s">
        <v>23</v>
      </c>
    </row>
    <row r="41" spans="2:14" s="260" customFormat="1" ht="4.5" customHeight="1" x14ac:dyDescent="0.2">
      <c r="C41" s="261"/>
      <c r="D41" s="261"/>
      <c r="E41" s="262"/>
    </row>
    <row r="42" spans="2:14" x14ac:dyDescent="0.2">
      <c r="B42" s="30" t="s">
        <v>14</v>
      </c>
      <c r="C42" s="258" t="s">
        <v>448</v>
      </c>
      <c r="D42" s="258" t="s">
        <v>478</v>
      </c>
      <c r="E42" s="259" t="s">
        <v>479</v>
      </c>
    </row>
    <row r="43" spans="2:14" x14ac:dyDescent="0.2">
      <c r="B43" s="30" t="s">
        <v>89</v>
      </c>
      <c r="C43" s="258" t="s">
        <v>484</v>
      </c>
      <c r="D43" s="258" t="s">
        <v>491</v>
      </c>
      <c r="E43" s="259" t="s">
        <v>492</v>
      </c>
    </row>
    <row r="44" spans="2:14" x14ac:dyDescent="0.2">
      <c r="B44" s="30"/>
      <c r="C44" s="258" t="s">
        <v>145</v>
      </c>
      <c r="D44" s="258" t="s">
        <v>508</v>
      </c>
      <c r="E44" s="259" t="s">
        <v>509</v>
      </c>
    </row>
    <row r="45" spans="2:14" s="260" customFormat="1" ht="4.5" customHeight="1" x14ac:dyDescent="0.2">
      <c r="C45" s="261"/>
      <c r="D45" s="261"/>
      <c r="E45" s="262"/>
    </row>
    <row r="46" spans="2:14" x14ac:dyDescent="0.2">
      <c r="B46" s="31" t="s">
        <v>136</v>
      </c>
      <c r="C46" s="258" t="s">
        <v>448</v>
      </c>
      <c r="D46" s="258" t="s">
        <v>480</v>
      </c>
      <c r="E46" s="259" t="s">
        <v>481</v>
      </c>
    </row>
    <row r="47" spans="2:14" x14ac:dyDescent="0.2">
      <c r="B47" s="31" t="s">
        <v>137</v>
      </c>
    </row>
    <row r="48" spans="2:14" x14ac:dyDescent="0.2">
      <c r="B48" s="31" t="s">
        <v>139</v>
      </c>
    </row>
    <row r="49" spans="2:7" s="260" customFormat="1" ht="4.5" customHeight="1" x14ac:dyDescent="0.2">
      <c r="C49" s="261"/>
      <c r="D49" s="261"/>
      <c r="E49" s="262"/>
    </row>
    <row r="50" spans="2:7" x14ac:dyDescent="0.2">
      <c r="B50" s="30" t="s">
        <v>76</v>
      </c>
      <c r="C50" s="258" t="s">
        <v>484</v>
      </c>
      <c r="D50" s="258" t="s">
        <v>485</v>
      </c>
      <c r="E50" s="259" t="s">
        <v>486</v>
      </c>
    </row>
    <row r="51" spans="2:7" x14ac:dyDescent="0.2">
      <c r="B51" s="30" t="s">
        <v>515</v>
      </c>
      <c r="E51" s="259" t="s">
        <v>487</v>
      </c>
    </row>
    <row r="52" spans="2:7" x14ac:dyDescent="0.2">
      <c r="B52" s="30" t="s">
        <v>516</v>
      </c>
    </row>
    <row r="53" spans="2:7" s="260" customFormat="1" ht="4.5" customHeight="1" x14ac:dyDescent="0.2">
      <c r="C53" s="261"/>
      <c r="D53" s="261"/>
      <c r="E53" s="262"/>
    </row>
    <row r="54" spans="2:7" x14ac:dyDescent="0.2">
      <c r="B54" s="30" t="s">
        <v>104</v>
      </c>
      <c r="C54" s="258" t="s">
        <v>484</v>
      </c>
      <c r="D54" s="258" t="s">
        <v>488</v>
      </c>
      <c r="E54" s="259" t="s">
        <v>489</v>
      </c>
    </row>
    <row r="55" spans="2:7" x14ac:dyDescent="0.2">
      <c r="B55" s="30" t="s">
        <v>126</v>
      </c>
      <c r="E55" s="259" t="s">
        <v>490</v>
      </c>
    </row>
    <row r="56" spans="2:7" x14ac:dyDescent="0.2">
      <c r="B56" s="30" t="str">
        <f>"Flat Rate/Bird + Start Up Fee IF Less Than " &amp;Processing!E12&amp; " Birds"</f>
        <v>Flat Rate/Bird + Start Up Fee IF Less Than 50 Birds</v>
      </c>
    </row>
    <row r="57" spans="2:7" s="260" customFormat="1" ht="4.5" customHeight="1" x14ac:dyDescent="0.2">
      <c r="B57" s="263"/>
      <c r="C57" s="261"/>
      <c r="D57" s="261"/>
      <c r="E57" s="262"/>
    </row>
    <row r="58" spans="2:7" x14ac:dyDescent="0.2">
      <c r="B58" s="30" t="s">
        <v>125</v>
      </c>
      <c r="C58" s="258" t="s">
        <v>493</v>
      </c>
      <c r="D58" s="258" t="s">
        <v>494</v>
      </c>
      <c r="E58" s="259" t="s">
        <v>495</v>
      </c>
    </row>
    <row r="59" spans="2:7" x14ac:dyDescent="0.2">
      <c r="B59" s="30" t="s">
        <v>103</v>
      </c>
    </row>
    <row r="60" spans="2:7" s="260" customFormat="1" ht="4.5" customHeight="1" x14ac:dyDescent="0.2">
      <c r="B60" s="263"/>
      <c r="C60" s="261"/>
      <c r="D60" s="261"/>
      <c r="E60" s="262"/>
    </row>
    <row r="61" spans="2:7" x14ac:dyDescent="0.2">
      <c r="B61" s="31" t="s">
        <v>338</v>
      </c>
      <c r="C61" s="258" t="s">
        <v>493</v>
      </c>
      <c r="D61" s="258" t="s">
        <v>496</v>
      </c>
      <c r="E61" s="259" t="s">
        <v>497</v>
      </c>
    </row>
    <row r="62" spans="2:7" x14ac:dyDescent="0.2">
      <c r="B62" s="31" t="s">
        <v>218</v>
      </c>
      <c r="E62" s="259" t="s">
        <v>498</v>
      </c>
    </row>
    <row r="63" spans="2:7" s="260" customFormat="1" ht="4.5" customHeight="1" x14ac:dyDescent="0.2">
      <c r="C63" s="261"/>
      <c r="D63" s="261"/>
      <c r="E63" s="262"/>
    </row>
    <row r="64" spans="2:7" x14ac:dyDescent="0.2">
      <c r="B64" s="31" t="s">
        <v>227</v>
      </c>
      <c r="C64" s="258" t="s">
        <v>145</v>
      </c>
      <c r="D64" s="258" t="s">
        <v>494</v>
      </c>
      <c r="E64" s="259" t="s">
        <v>506</v>
      </c>
      <c r="F64" s="30"/>
      <c r="G64" s="30"/>
    </row>
    <row r="65" spans="2:5" x14ac:dyDescent="0.2">
      <c r="B65" s="31" t="s">
        <v>228</v>
      </c>
      <c r="C65" s="258" t="s">
        <v>145</v>
      </c>
      <c r="D65" s="258" t="s">
        <v>496</v>
      </c>
      <c r="E65" s="259" t="s">
        <v>507</v>
      </c>
    </row>
    <row r="66" spans="2:5" s="260" customFormat="1" ht="4.5" customHeight="1" x14ac:dyDescent="0.2">
      <c r="C66" s="261"/>
      <c r="D66" s="261"/>
      <c r="E66" s="262"/>
    </row>
    <row r="67" spans="2:5" x14ac:dyDescent="0.2">
      <c r="B67" s="30" t="s">
        <v>105</v>
      </c>
      <c r="C67" s="258" t="s">
        <v>448</v>
      </c>
      <c r="D67" s="258" t="s">
        <v>510</v>
      </c>
      <c r="E67" s="259" t="s">
        <v>511</v>
      </c>
    </row>
    <row r="68" spans="2:5" x14ac:dyDescent="0.2">
      <c r="B68" s="30" t="s">
        <v>108</v>
      </c>
      <c r="E68" s="259" t="s">
        <v>512</v>
      </c>
    </row>
    <row r="69" spans="2:5" x14ac:dyDescent="0.2">
      <c r="B69" s="30" t="s">
        <v>106</v>
      </c>
      <c r="E69" s="259" t="s">
        <v>513</v>
      </c>
    </row>
    <row r="70" spans="2:5" x14ac:dyDescent="0.2">
      <c r="B70" s="30" t="s">
        <v>107</v>
      </c>
    </row>
    <row r="73" spans="2:5" x14ac:dyDescent="0.2">
      <c r="B73" s="31" t="s">
        <v>638</v>
      </c>
    </row>
    <row r="74" spans="2:5" x14ac:dyDescent="0.2">
      <c r="B74" s="31" t="s">
        <v>639</v>
      </c>
    </row>
    <row r="75" spans="2:5" x14ac:dyDescent="0.2">
      <c r="B75" s="31" t="s">
        <v>640</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C68"/>
  <sheetViews>
    <sheetView workbookViewId="0">
      <selection activeCell="C17" sqref="C17"/>
    </sheetView>
  </sheetViews>
  <sheetFormatPr defaultRowHeight="12.75" x14ac:dyDescent="0.2"/>
  <cols>
    <col min="1" max="1" width="9.140625" style="31"/>
    <col min="2" max="2" width="4.7109375" style="31" customWidth="1"/>
    <col min="3" max="3" width="20.42578125" style="259" customWidth="1"/>
    <col min="4" max="4" width="37.28515625" style="31" customWidth="1"/>
    <col min="5" max="5" width="86" style="31" customWidth="1"/>
    <col min="6" max="16384" width="9.140625" style="31"/>
  </cols>
  <sheetData>
    <row r="2" spans="2:3" ht="15.75" x14ac:dyDescent="0.25">
      <c r="B2" s="265" t="s">
        <v>526</v>
      </c>
    </row>
    <row r="4" spans="2:3" x14ac:dyDescent="0.2">
      <c r="B4" s="270" t="s">
        <v>527</v>
      </c>
    </row>
    <row r="5" spans="2:3" x14ac:dyDescent="0.2">
      <c r="C5" s="259" t="s">
        <v>517</v>
      </c>
    </row>
    <row r="6" spans="2:3" x14ac:dyDescent="0.2">
      <c r="C6" s="259" t="s">
        <v>518</v>
      </c>
    </row>
    <row r="7" spans="2:3" x14ac:dyDescent="0.2">
      <c r="C7" s="259" t="s">
        <v>519</v>
      </c>
    </row>
    <row r="8" spans="2:3" x14ac:dyDescent="0.2">
      <c r="C8" s="259" t="s">
        <v>572</v>
      </c>
    </row>
    <row r="10" spans="2:3" x14ac:dyDescent="0.2">
      <c r="B10" s="270" t="s">
        <v>528</v>
      </c>
    </row>
    <row r="11" spans="2:3" x14ac:dyDescent="0.2">
      <c r="C11" s="259" t="s">
        <v>521</v>
      </c>
    </row>
    <row r="12" spans="2:3" x14ac:dyDescent="0.2">
      <c r="C12" s="259" t="s">
        <v>522</v>
      </c>
    </row>
    <row r="13" spans="2:3" x14ac:dyDescent="0.2">
      <c r="C13" s="259" t="s">
        <v>532</v>
      </c>
    </row>
    <row r="14" spans="2:3" ht="3.95" customHeight="1" x14ac:dyDescent="0.2"/>
    <row r="15" spans="2:3" x14ac:dyDescent="0.2">
      <c r="B15" s="269" t="s">
        <v>575</v>
      </c>
    </row>
    <row r="16" spans="2:3" x14ac:dyDescent="0.2">
      <c r="C16" s="259" t="s">
        <v>534</v>
      </c>
    </row>
    <row r="17" spans="2:3" x14ac:dyDescent="0.2">
      <c r="C17" s="259" t="s">
        <v>535</v>
      </c>
    </row>
    <row r="18" spans="2:3" x14ac:dyDescent="0.2">
      <c r="C18" s="259" t="s">
        <v>536</v>
      </c>
    </row>
    <row r="19" spans="2:3" x14ac:dyDescent="0.2">
      <c r="C19" s="259" t="s">
        <v>537</v>
      </c>
    </row>
    <row r="20" spans="2:3" x14ac:dyDescent="0.2">
      <c r="C20" s="259" t="s">
        <v>538</v>
      </c>
    </row>
    <row r="21" spans="2:3" x14ac:dyDescent="0.2">
      <c r="C21" s="259" t="s">
        <v>539</v>
      </c>
    </row>
    <row r="22" spans="2:3" x14ac:dyDescent="0.2">
      <c r="C22" s="259" t="s">
        <v>540</v>
      </c>
    </row>
    <row r="24" spans="2:3" x14ac:dyDescent="0.2">
      <c r="B24" s="270" t="s">
        <v>529</v>
      </c>
    </row>
    <row r="25" spans="2:3" x14ac:dyDescent="0.2">
      <c r="C25" s="259" t="s">
        <v>520</v>
      </c>
    </row>
    <row r="26" spans="2:3" x14ac:dyDescent="0.2">
      <c r="C26" s="259" t="s">
        <v>531</v>
      </c>
    </row>
    <row r="27" spans="2:3" x14ac:dyDescent="0.2">
      <c r="C27" s="259" t="s">
        <v>533</v>
      </c>
    </row>
    <row r="28" spans="2:3" ht="3.95" customHeight="1" x14ac:dyDescent="0.2"/>
    <row r="29" spans="2:3" x14ac:dyDescent="0.2">
      <c r="B29" s="269" t="s">
        <v>541</v>
      </c>
    </row>
    <row r="30" spans="2:3" x14ac:dyDescent="0.2">
      <c r="C30" s="259" t="s">
        <v>542</v>
      </c>
    </row>
    <row r="31" spans="2:3" x14ac:dyDescent="0.2">
      <c r="C31" s="259" t="s">
        <v>543</v>
      </c>
    </row>
    <row r="32" spans="2:3" x14ac:dyDescent="0.2">
      <c r="C32" s="259" t="s">
        <v>544</v>
      </c>
    </row>
    <row r="33" spans="2:3" x14ac:dyDescent="0.2">
      <c r="C33" s="259" t="s">
        <v>545</v>
      </c>
    </row>
    <row r="34" spans="2:3" x14ac:dyDescent="0.2">
      <c r="C34" s="259" t="s">
        <v>546</v>
      </c>
    </row>
    <row r="36" spans="2:3" x14ac:dyDescent="0.2">
      <c r="B36" s="270" t="s">
        <v>530</v>
      </c>
    </row>
    <row r="37" spans="2:3" x14ac:dyDescent="0.2">
      <c r="B37" s="270"/>
      <c r="C37" s="259" t="s">
        <v>549</v>
      </c>
    </row>
    <row r="38" spans="2:3" x14ac:dyDescent="0.2">
      <c r="C38" s="259" t="s">
        <v>523</v>
      </c>
    </row>
    <row r="39" spans="2:3" x14ac:dyDescent="0.2">
      <c r="C39" s="259" t="s">
        <v>524</v>
      </c>
    </row>
    <row r="40" spans="2:3" x14ac:dyDescent="0.2">
      <c r="C40" s="259" t="s">
        <v>547</v>
      </c>
    </row>
    <row r="41" spans="2:3" x14ac:dyDescent="0.2">
      <c r="C41" s="259" t="s">
        <v>525</v>
      </c>
    </row>
    <row r="42" spans="2:3" x14ac:dyDescent="0.2">
      <c r="C42" s="259" t="s">
        <v>548</v>
      </c>
    </row>
    <row r="44" spans="2:3" x14ac:dyDescent="0.2">
      <c r="B44" s="270" t="s">
        <v>569</v>
      </c>
    </row>
    <row r="45" spans="2:3" x14ac:dyDescent="0.2">
      <c r="B45" s="269" t="s">
        <v>568</v>
      </c>
      <c r="C45" s="31"/>
    </row>
    <row r="46" spans="2:3" x14ac:dyDescent="0.2">
      <c r="C46" s="259" t="s">
        <v>550</v>
      </c>
    </row>
    <row r="47" spans="2:3" x14ac:dyDescent="0.2">
      <c r="C47" s="259" t="s">
        <v>551</v>
      </c>
    </row>
    <row r="48" spans="2:3" x14ac:dyDescent="0.2">
      <c r="C48" s="259" t="s">
        <v>552</v>
      </c>
    </row>
    <row r="49" spans="2:3" ht="4.5" customHeight="1" x14ac:dyDescent="0.2"/>
    <row r="50" spans="2:3" x14ac:dyDescent="0.2">
      <c r="C50" s="259" t="s">
        <v>553</v>
      </c>
    </row>
    <row r="51" spans="2:3" x14ac:dyDescent="0.2">
      <c r="C51" s="259" t="s">
        <v>558</v>
      </c>
    </row>
    <row r="52" spans="2:3" ht="4.5" customHeight="1" x14ac:dyDescent="0.2"/>
    <row r="53" spans="2:3" x14ac:dyDescent="0.2">
      <c r="C53" s="259" t="s">
        <v>554</v>
      </c>
    </row>
    <row r="54" spans="2:3" x14ac:dyDescent="0.2">
      <c r="C54" s="259" t="s">
        <v>555</v>
      </c>
    </row>
    <row r="55" spans="2:3" x14ac:dyDescent="0.2">
      <c r="C55" s="259" t="s">
        <v>556</v>
      </c>
    </row>
    <row r="56" spans="2:3" ht="4.5" customHeight="1" x14ac:dyDescent="0.2"/>
    <row r="57" spans="2:3" x14ac:dyDescent="0.2">
      <c r="C57" s="259" t="s">
        <v>557</v>
      </c>
    </row>
    <row r="59" spans="2:3" x14ac:dyDescent="0.2">
      <c r="B59" s="269" t="s">
        <v>567</v>
      </c>
      <c r="C59" s="31"/>
    </row>
    <row r="60" spans="2:3" x14ac:dyDescent="0.2">
      <c r="C60" s="259" t="s">
        <v>571</v>
      </c>
    </row>
    <row r="61" spans="2:3" x14ac:dyDescent="0.2">
      <c r="C61" s="259" t="s">
        <v>570</v>
      </c>
    </row>
    <row r="62" spans="2:3" ht="4.5" customHeight="1" x14ac:dyDescent="0.2"/>
    <row r="63" spans="2:3" x14ac:dyDescent="0.2">
      <c r="C63" s="259" t="s">
        <v>559</v>
      </c>
    </row>
    <row r="64" spans="2:3" x14ac:dyDescent="0.2">
      <c r="C64" s="259" t="s">
        <v>564</v>
      </c>
    </row>
    <row r="65" spans="2:3" x14ac:dyDescent="0.2">
      <c r="C65" s="259" t="s">
        <v>562</v>
      </c>
    </row>
    <row r="67" spans="2:3" x14ac:dyDescent="0.2">
      <c r="B67" s="269" t="s">
        <v>566</v>
      </c>
      <c r="C67" s="31"/>
    </row>
    <row r="68" spans="2:3" x14ac:dyDescent="0.2">
      <c r="C68" s="259" t="s">
        <v>565</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dimension ref="B2:Q73"/>
  <sheetViews>
    <sheetView workbookViewId="0">
      <selection activeCell="K50" sqref="K50"/>
    </sheetView>
  </sheetViews>
  <sheetFormatPr defaultColWidth="8.85546875" defaultRowHeight="15" x14ac:dyDescent="0.25"/>
  <cols>
    <col min="2" max="2" width="22" customWidth="1"/>
    <col min="3" max="3" width="12.28515625" customWidth="1"/>
    <col min="4" max="4" width="15" customWidth="1"/>
    <col min="5" max="6" width="15.7109375" customWidth="1"/>
  </cols>
  <sheetData>
    <row r="2" spans="2:7" x14ac:dyDescent="0.25">
      <c r="B2" t="s">
        <v>40</v>
      </c>
    </row>
    <row r="3" spans="2:7" ht="15.75" thickBot="1" x14ac:dyDescent="0.3"/>
    <row r="4" spans="2:7" x14ac:dyDescent="0.25">
      <c r="B4" s="15" t="s">
        <v>41</v>
      </c>
      <c r="C4" s="15"/>
    </row>
    <row r="5" spans="2:7" x14ac:dyDescent="0.25">
      <c r="B5" t="s">
        <v>42</v>
      </c>
      <c r="C5">
        <v>0.9999442238593107</v>
      </c>
    </row>
    <row r="6" spans="2:7" x14ac:dyDescent="0.25">
      <c r="B6" t="s">
        <v>43</v>
      </c>
      <c r="C6">
        <v>0.99988845082959921</v>
      </c>
    </row>
    <row r="7" spans="2:7" x14ac:dyDescent="0.25">
      <c r="B7" t="s">
        <v>44</v>
      </c>
      <c r="C7">
        <v>0.99985126777279898</v>
      </c>
    </row>
    <row r="8" spans="2:7" x14ac:dyDescent="0.25">
      <c r="B8" t="s">
        <v>45</v>
      </c>
      <c r="C8">
        <v>6.8916991607590961E-2</v>
      </c>
    </row>
    <row r="9" spans="2:7" ht="15.75" thickBot="1" x14ac:dyDescent="0.3">
      <c r="B9" s="13" t="s">
        <v>46</v>
      </c>
      <c r="C9" s="13">
        <v>9</v>
      </c>
    </row>
    <row r="11" spans="2:7" ht="15.75" thickBot="1" x14ac:dyDescent="0.3">
      <c r="B11" t="s">
        <v>47</v>
      </c>
    </row>
    <row r="12" spans="2:7" x14ac:dyDescent="0.25">
      <c r="B12" s="14"/>
      <c r="C12" s="14" t="s">
        <v>51</v>
      </c>
      <c r="D12" s="14" t="s">
        <v>52</v>
      </c>
      <c r="E12" s="14" t="s">
        <v>53</v>
      </c>
      <c r="F12" s="14" t="s">
        <v>54</v>
      </c>
      <c r="G12" s="14" t="s">
        <v>55</v>
      </c>
    </row>
    <row r="13" spans="2:7" x14ac:dyDescent="0.25">
      <c r="B13" t="s">
        <v>48</v>
      </c>
      <c r="C13">
        <v>2</v>
      </c>
      <c r="D13">
        <v>255.44010268960653</v>
      </c>
      <c r="E13">
        <v>127.72005134480327</v>
      </c>
      <c r="F13">
        <v>26890.969620947148</v>
      </c>
      <c r="G13">
        <v>1.388030579993693E-12</v>
      </c>
    </row>
    <row r="14" spans="2:7" x14ac:dyDescent="0.25">
      <c r="B14" t="s">
        <v>49</v>
      </c>
      <c r="C14">
        <v>6</v>
      </c>
      <c r="D14">
        <v>2.849731039344458E-2</v>
      </c>
      <c r="E14">
        <v>4.7495517322407631E-3</v>
      </c>
    </row>
    <row r="15" spans="2:7" ht="15.75" thickBot="1" x14ac:dyDescent="0.3">
      <c r="B15" s="13" t="s">
        <v>3</v>
      </c>
      <c r="C15" s="13">
        <v>8</v>
      </c>
      <c r="D15" s="13">
        <v>255.46859999999998</v>
      </c>
      <c r="E15" s="13"/>
      <c r="F15" s="13"/>
      <c r="G15" s="13"/>
    </row>
    <row r="16" spans="2:7" ht="15.75" thickBot="1" x14ac:dyDescent="0.3"/>
    <row r="17" spans="2:17" x14ac:dyDescent="0.25">
      <c r="B17" s="14"/>
      <c r="C17" s="14" t="s">
        <v>56</v>
      </c>
      <c r="D17" s="14" t="s">
        <v>45</v>
      </c>
      <c r="E17" s="14" t="s">
        <v>57</v>
      </c>
      <c r="F17" s="14" t="s">
        <v>58</v>
      </c>
      <c r="G17" s="14" t="s">
        <v>59</v>
      </c>
      <c r="H17" s="14" t="s">
        <v>60</v>
      </c>
      <c r="I17" s="14" t="s">
        <v>61</v>
      </c>
      <c r="J17" s="14" t="s">
        <v>62</v>
      </c>
    </row>
    <row r="18" spans="2:17" x14ac:dyDescent="0.25">
      <c r="B18" t="s">
        <v>50</v>
      </c>
      <c r="C18">
        <v>8.9006709040133636E-3</v>
      </c>
      <c r="D18">
        <v>5.487204136267293E-2</v>
      </c>
      <c r="E18">
        <v>0.1622077597803406</v>
      </c>
      <c r="F18">
        <v>0.87646704706256862</v>
      </c>
      <c r="G18">
        <v>-0.12536637740282799</v>
      </c>
      <c r="H18">
        <v>0.14316771921085472</v>
      </c>
      <c r="I18">
        <v>-0.12536637740282799</v>
      </c>
      <c r="J18">
        <v>0.14316771921085472</v>
      </c>
    </row>
    <row r="19" spans="2:17" x14ac:dyDescent="0.25">
      <c r="B19" t="s">
        <v>63</v>
      </c>
      <c r="C19">
        <v>1.5515712719932389</v>
      </c>
      <c r="D19">
        <v>4.2296990692868172E-2</v>
      </c>
      <c r="E19">
        <v>36.68278160164369</v>
      </c>
      <c r="F19">
        <v>2.7381547681474218E-8</v>
      </c>
      <c r="G19">
        <v>1.4480742641990911</v>
      </c>
      <c r="H19">
        <v>1.6550682797873866</v>
      </c>
      <c r="I19">
        <v>1.4480742641990911</v>
      </c>
      <c r="J19">
        <v>1.6550682797873866</v>
      </c>
    </row>
    <row r="20" spans="2:17" ht="15.75" thickBot="1" x14ac:dyDescent="0.3">
      <c r="B20" s="13" t="s">
        <v>68</v>
      </c>
      <c r="C20" s="13">
        <v>0.13546224242809179</v>
      </c>
      <c r="D20" s="13">
        <v>6.1886691950745294E-3</v>
      </c>
      <c r="E20" s="13">
        <v>21.888751548701972</v>
      </c>
      <c r="F20" s="13">
        <v>5.9400175592960263E-7</v>
      </c>
      <c r="G20" s="13">
        <v>0.12031911443184813</v>
      </c>
      <c r="H20" s="13">
        <v>0.15060537042433547</v>
      </c>
      <c r="I20" s="13">
        <v>0.12031911443184813</v>
      </c>
      <c r="J20" s="13">
        <v>0.15060537042433547</v>
      </c>
    </row>
    <row r="22" spans="2:17" x14ac:dyDescent="0.25">
      <c r="B22" s="425" t="str">
        <f>"Multiplier "&amp; 'Drop Down Lists'!B5</f>
        <v>Multiplier Freedom Ranger (10 wks)</v>
      </c>
      <c r="C22" s="425"/>
      <c r="D22" s="274">
        <v>1.4</v>
      </c>
    </row>
    <row r="23" spans="2:17" x14ac:dyDescent="0.25">
      <c r="B23" s="425" t="str">
        <f>"Multiplier "&amp; 'Drop Down Lists'!B6</f>
        <v>Multiplier Heritage Breed (12 wks)</v>
      </c>
      <c r="C23" s="425"/>
      <c r="D23" s="274">
        <v>1.6</v>
      </c>
    </row>
    <row r="24" spans="2:17" x14ac:dyDescent="0.25">
      <c r="B24" s="425" t="str">
        <f>"Multiplier "&amp; 'Drop Down Lists'!B7</f>
        <v>Multiplier Heritage Breed (14 wks)</v>
      </c>
      <c r="C24" s="425"/>
      <c r="D24" s="274">
        <v>2</v>
      </c>
    </row>
    <row r="25" spans="2:17" x14ac:dyDescent="0.25">
      <c r="B25" s="425" t="str">
        <f>"Multiplier "&amp; 'Drop Down Lists'!B8</f>
        <v>Multiplier Heritage Breed (18 wks)</v>
      </c>
      <c r="C25" s="425"/>
      <c r="D25" s="274">
        <v>2.4</v>
      </c>
    </row>
    <row r="26" spans="2:17" x14ac:dyDescent="0.25">
      <c r="E26" s="427" t="s">
        <v>71</v>
      </c>
      <c r="F26" s="427"/>
      <c r="G26" s="427"/>
      <c r="H26" s="427"/>
      <c r="I26" s="427"/>
      <c r="M26" s="428" t="s">
        <v>72</v>
      </c>
      <c r="N26" s="428"/>
      <c r="O26" s="428"/>
      <c r="P26" s="428"/>
      <c r="Q26" s="428"/>
    </row>
    <row r="27" spans="2:17" ht="45" x14ac:dyDescent="0.25">
      <c r="D27" s="20" t="s">
        <v>66</v>
      </c>
      <c r="E27" s="20" t="s">
        <v>69</v>
      </c>
      <c r="F27" s="20" t="s">
        <v>10</v>
      </c>
      <c r="G27" s="20" t="s">
        <v>70</v>
      </c>
      <c r="H27" s="20" t="s">
        <v>267</v>
      </c>
      <c r="I27" s="20" t="s">
        <v>268</v>
      </c>
      <c r="L27" s="20" t="s">
        <v>66</v>
      </c>
      <c r="M27" s="20" t="s">
        <v>69</v>
      </c>
      <c r="N27" s="20" t="s">
        <v>10</v>
      </c>
      <c r="O27" s="20" t="s">
        <v>70</v>
      </c>
      <c r="P27" s="20" t="s">
        <v>267</v>
      </c>
      <c r="Q27" s="20" t="s">
        <v>268</v>
      </c>
    </row>
    <row r="28" spans="2:17" x14ac:dyDescent="0.25">
      <c r="D28" s="8">
        <v>0.21500000000000002</v>
      </c>
      <c r="E28" s="8">
        <f>$C$18+(D28*$C$19)+(D28^2)*$C$20</f>
        <v>0.34875023653879828</v>
      </c>
      <c r="F28" s="8">
        <f>E28*$D$22</f>
        <v>0.48825033115431754</v>
      </c>
      <c r="G28" s="8">
        <f>E28*$D$23</f>
        <v>0.55800037846207728</v>
      </c>
      <c r="H28" s="8">
        <f>E28*$D$24</f>
        <v>0.69750047307759655</v>
      </c>
      <c r="I28" s="8">
        <f>E28*$D$25</f>
        <v>0.83700056769311582</v>
      </c>
      <c r="L28" s="8">
        <v>0.21500000000000002</v>
      </c>
      <c r="M28" s="21">
        <f>E28/L28</f>
        <v>1.6220941234362709</v>
      </c>
      <c r="N28" s="21">
        <f>F28/L28</f>
        <v>2.270931772810779</v>
      </c>
      <c r="O28" s="21">
        <f>G28/L28</f>
        <v>2.5953505974980335</v>
      </c>
      <c r="P28" s="21">
        <f>H28/L28</f>
        <v>3.2441882468725418</v>
      </c>
      <c r="Q28" s="21">
        <f>I28/L28</f>
        <v>3.8930258962470496</v>
      </c>
    </row>
    <row r="29" spans="2:17" x14ac:dyDescent="0.25">
      <c r="D29" s="8">
        <v>0.56000000000000005</v>
      </c>
      <c r="E29" s="8">
        <f t="shared" ref="E29:E36" si="0">$C$18+(D29*$C$19)+(D29^2)*$C$20</f>
        <v>0.92026154244567682</v>
      </c>
      <c r="F29" s="8">
        <f t="shared" ref="F29:F36" si="1">E29*$D$22</f>
        <v>1.2883661594239475</v>
      </c>
      <c r="G29" s="8">
        <f t="shared" ref="G29:G36" si="2">E29*$D$23</f>
        <v>1.472418467913083</v>
      </c>
      <c r="H29" s="8">
        <f t="shared" ref="H29:H36" si="3">E29*$D$24</f>
        <v>1.8405230848913536</v>
      </c>
      <c r="I29" s="8">
        <f t="shared" ref="I29:I36" si="4">E29*$D$25</f>
        <v>2.2086277018696241</v>
      </c>
      <c r="L29" s="8">
        <v>0.56000000000000005</v>
      </c>
      <c r="M29" s="21">
        <f t="shared" ref="M29:M36" si="5">E29/L29</f>
        <v>1.6433241829387084</v>
      </c>
      <c r="N29" s="21">
        <f t="shared" ref="N29:N36" si="6">F29/L29</f>
        <v>2.3006538561141916</v>
      </c>
      <c r="O29" s="21">
        <f t="shared" ref="O29:O36" si="7">G29/L29</f>
        <v>2.6293186927019336</v>
      </c>
      <c r="P29" s="21">
        <f t="shared" ref="P29:P36" si="8">H29/L29</f>
        <v>3.2866483658774168</v>
      </c>
      <c r="Q29" s="21">
        <f t="shared" ref="Q29:Q36" si="9">I29/L29</f>
        <v>3.9439780390529</v>
      </c>
    </row>
    <row r="30" spans="2:17" x14ac:dyDescent="0.25">
      <c r="D30" s="8">
        <v>1.115</v>
      </c>
      <c r="E30" s="8">
        <f t="shared" si="0"/>
        <v>1.9073126855191389</v>
      </c>
      <c r="F30" s="8">
        <f t="shared" si="1"/>
        <v>2.6702377597267941</v>
      </c>
      <c r="G30" s="8">
        <f t="shared" si="2"/>
        <v>3.0517002968306226</v>
      </c>
      <c r="H30" s="8">
        <f t="shared" si="3"/>
        <v>3.8146253710382778</v>
      </c>
      <c r="I30" s="8">
        <f t="shared" si="4"/>
        <v>4.577550445245933</v>
      </c>
      <c r="L30" s="8">
        <v>1.115</v>
      </c>
      <c r="M30" s="21">
        <f t="shared" si="5"/>
        <v>1.7105943367884655</v>
      </c>
      <c r="N30" s="21">
        <f t="shared" si="6"/>
        <v>2.3948320715038514</v>
      </c>
      <c r="O30" s="21">
        <f t="shared" si="7"/>
        <v>2.7369509388615452</v>
      </c>
      <c r="P30" s="21">
        <f t="shared" si="8"/>
        <v>3.421188673576931</v>
      </c>
      <c r="Q30" s="21">
        <f t="shared" si="9"/>
        <v>4.1054264082923169</v>
      </c>
    </row>
    <row r="31" spans="2:17" x14ac:dyDescent="0.25">
      <c r="D31" s="8">
        <v>1.8499999999999999</v>
      </c>
      <c r="E31" s="8">
        <f t="shared" si="0"/>
        <v>3.3429270488016494</v>
      </c>
      <c r="F31" s="8">
        <f t="shared" si="1"/>
        <v>4.6800978683223091</v>
      </c>
      <c r="G31" s="8">
        <f t="shared" si="2"/>
        <v>5.348683278082639</v>
      </c>
      <c r="H31" s="8">
        <f t="shared" si="3"/>
        <v>6.6858540976032987</v>
      </c>
      <c r="I31" s="8">
        <f t="shared" si="4"/>
        <v>8.0230249171239585</v>
      </c>
      <c r="L31" s="8">
        <v>1.8499999999999999</v>
      </c>
      <c r="M31" s="21">
        <f t="shared" si="5"/>
        <v>1.8069875939468376</v>
      </c>
      <c r="N31" s="21">
        <f t="shared" si="6"/>
        <v>2.5297826315255727</v>
      </c>
      <c r="O31" s="21">
        <f t="shared" si="7"/>
        <v>2.8911801503149404</v>
      </c>
      <c r="P31" s="21">
        <f t="shared" si="8"/>
        <v>3.6139751878936752</v>
      </c>
      <c r="Q31" s="21">
        <f t="shared" si="9"/>
        <v>4.3367702254724101</v>
      </c>
    </row>
    <row r="32" spans="2:17" x14ac:dyDescent="0.25">
      <c r="D32" s="8">
        <v>2.74</v>
      </c>
      <c r="E32" s="8">
        <f t="shared" si="0"/>
        <v>5.2772022874186311</v>
      </c>
      <c r="F32" s="8">
        <f t="shared" si="1"/>
        <v>7.388083202386083</v>
      </c>
      <c r="G32" s="8">
        <f t="shared" si="2"/>
        <v>8.4435236598698094</v>
      </c>
      <c r="H32" s="8">
        <f t="shared" si="3"/>
        <v>10.554404574837262</v>
      </c>
      <c r="I32" s="8">
        <f t="shared" si="4"/>
        <v>12.665285489804715</v>
      </c>
      <c r="L32" s="8">
        <v>2.74</v>
      </c>
      <c r="M32" s="21">
        <f t="shared" si="5"/>
        <v>1.9259862362841718</v>
      </c>
      <c r="N32" s="21">
        <f t="shared" si="6"/>
        <v>2.6963807307978405</v>
      </c>
      <c r="O32" s="21">
        <f t="shared" si="7"/>
        <v>3.0815779780546748</v>
      </c>
      <c r="P32" s="21">
        <f t="shared" si="8"/>
        <v>3.8519724725683435</v>
      </c>
      <c r="Q32" s="21">
        <f t="shared" si="9"/>
        <v>4.6223669670820122</v>
      </c>
    </row>
    <row r="33" spans="2:17" x14ac:dyDescent="0.25">
      <c r="D33" s="8">
        <v>3.7199999999999998</v>
      </c>
      <c r="E33" s="8">
        <f t="shared" si="0"/>
        <v>7.6553264983357669</v>
      </c>
      <c r="F33" s="8">
        <f t="shared" si="1"/>
        <v>10.717457097670072</v>
      </c>
      <c r="G33" s="8">
        <f t="shared" si="2"/>
        <v>12.248522397337227</v>
      </c>
      <c r="H33" s="8">
        <f t="shared" si="3"/>
        <v>15.310652996671534</v>
      </c>
      <c r="I33" s="8">
        <f t="shared" si="4"/>
        <v>18.372783596005839</v>
      </c>
      <c r="L33" s="8">
        <v>3.7199999999999998</v>
      </c>
      <c r="M33" s="21">
        <f t="shared" si="5"/>
        <v>2.0578834672945612</v>
      </c>
      <c r="N33" s="21">
        <f t="shared" si="6"/>
        <v>2.8810368542123852</v>
      </c>
      <c r="O33" s="21">
        <f t="shared" si="7"/>
        <v>3.2926135476712979</v>
      </c>
      <c r="P33" s="21">
        <f t="shared" si="8"/>
        <v>4.1157669345891224</v>
      </c>
      <c r="Q33" s="21">
        <f t="shared" si="9"/>
        <v>4.9389203215069459</v>
      </c>
    </row>
    <row r="34" spans="2:17" x14ac:dyDescent="0.25">
      <c r="D34" s="8">
        <v>4.7149999999999999</v>
      </c>
      <c r="E34" s="8">
        <f t="shared" si="0"/>
        <v>10.336050808775589</v>
      </c>
      <c r="F34" s="8">
        <f t="shared" si="1"/>
        <v>14.470471132285823</v>
      </c>
      <c r="G34" s="8">
        <f t="shared" si="2"/>
        <v>16.537681294040944</v>
      </c>
      <c r="H34" s="8">
        <f t="shared" si="3"/>
        <v>20.672101617551178</v>
      </c>
      <c r="I34" s="8">
        <f t="shared" si="4"/>
        <v>24.806521941061412</v>
      </c>
      <c r="L34" s="8">
        <v>4.7149999999999999</v>
      </c>
      <c r="M34" s="21">
        <f t="shared" si="5"/>
        <v>2.1921634801220762</v>
      </c>
      <c r="N34" s="21">
        <f t="shared" si="6"/>
        <v>3.0690288721709065</v>
      </c>
      <c r="O34" s="21">
        <f t="shared" si="7"/>
        <v>3.5074615681953221</v>
      </c>
      <c r="P34" s="21">
        <f t="shared" si="8"/>
        <v>4.3843269602441524</v>
      </c>
      <c r="Q34" s="21">
        <f t="shared" si="9"/>
        <v>5.2611923522929827</v>
      </c>
    </row>
    <row r="35" spans="2:17" x14ac:dyDescent="0.25">
      <c r="D35" s="8">
        <v>5.68</v>
      </c>
      <c r="E35" s="8">
        <f t="shared" si="0"/>
        <v>13.192162545937679</v>
      </c>
      <c r="F35" s="8">
        <f t="shared" si="1"/>
        <v>18.46902756431275</v>
      </c>
      <c r="G35" s="8">
        <f t="shared" si="2"/>
        <v>21.107460073500288</v>
      </c>
      <c r="H35" s="8">
        <f t="shared" si="3"/>
        <v>26.384325091875358</v>
      </c>
      <c r="I35" s="8">
        <f t="shared" si="4"/>
        <v>31.661190110250427</v>
      </c>
      <c r="L35" s="8">
        <v>5.68</v>
      </c>
      <c r="M35" s="21">
        <f t="shared" si="5"/>
        <v>2.3225638285101549</v>
      </c>
      <c r="N35" s="21">
        <f t="shared" si="6"/>
        <v>3.2515893599142167</v>
      </c>
      <c r="O35" s="21">
        <f t="shared" si="7"/>
        <v>3.7161021256162483</v>
      </c>
      <c r="P35" s="21">
        <f t="shared" si="8"/>
        <v>4.6451276570203097</v>
      </c>
      <c r="Q35" s="21">
        <f t="shared" si="9"/>
        <v>5.5741531884243711</v>
      </c>
    </row>
    <row r="36" spans="2:17" x14ac:dyDescent="0.25">
      <c r="D36" s="8">
        <v>6.6</v>
      </c>
      <c r="E36" s="8">
        <f t="shared" si="0"/>
        <v>16.150006346227066</v>
      </c>
      <c r="F36" s="8">
        <f t="shared" si="1"/>
        <v>22.610008884717892</v>
      </c>
      <c r="G36" s="8">
        <f t="shared" si="2"/>
        <v>25.840010153963306</v>
      </c>
      <c r="H36" s="8">
        <f t="shared" si="3"/>
        <v>32.300012692454132</v>
      </c>
      <c r="I36" s="8">
        <f t="shared" si="4"/>
        <v>38.760015230944958</v>
      </c>
      <c r="L36" s="8">
        <v>6.6</v>
      </c>
      <c r="M36" s="21">
        <f t="shared" si="5"/>
        <v>2.4469706585192528</v>
      </c>
      <c r="N36" s="21">
        <f t="shared" si="6"/>
        <v>3.4257589219269535</v>
      </c>
      <c r="O36" s="21">
        <f t="shared" si="7"/>
        <v>3.9151530536308039</v>
      </c>
      <c r="P36" s="21">
        <f t="shared" si="8"/>
        <v>4.8939413170385055</v>
      </c>
      <c r="Q36" s="21">
        <f t="shared" si="9"/>
        <v>5.8727295804462063</v>
      </c>
    </row>
    <row r="37" spans="2:17" x14ac:dyDescent="0.25">
      <c r="D37" s="18"/>
      <c r="E37" s="18"/>
      <c r="F37" s="18"/>
      <c r="G37" s="18"/>
      <c r="H37" s="18"/>
      <c r="I37" s="18"/>
      <c r="L37" s="18"/>
      <c r="M37" s="23"/>
      <c r="N37" s="23"/>
      <c r="O37" s="23"/>
      <c r="P37" s="23"/>
      <c r="Q37" s="23"/>
    </row>
    <row r="38" spans="2:17" x14ac:dyDescent="0.25">
      <c r="B38" t="s">
        <v>210</v>
      </c>
      <c r="E38" s="244">
        <v>0</v>
      </c>
      <c r="F38" s="29">
        <f>E38*100</f>
        <v>0</v>
      </c>
      <c r="G38" t="s">
        <v>265</v>
      </c>
    </row>
    <row r="39" spans="2:17" x14ac:dyDescent="0.25">
      <c r="B39" t="s">
        <v>211</v>
      </c>
      <c r="E39" s="245">
        <f>IF('Production Data'!G51='Drop Down Lists'!B12,'Production Data'!G52,'Production Data'!H52)</f>
        <v>7.4999999999999997E-2</v>
      </c>
      <c r="F39" s="26"/>
      <c r="G39" s="28" t="s">
        <v>266</v>
      </c>
      <c r="K39" s="255" t="s">
        <v>441</v>
      </c>
    </row>
    <row r="40" spans="2:17" x14ac:dyDescent="0.25">
      <c r="B40" t="s">
        <v>214</v>
      </c>
      <c r="E40" s="244">
        <v>0.5</v>
      </c>
      <c r="F40" s="26"/>
      <c r="K40" s="256">
        <v>42278</v>
      </c>
    </row>
    <row r="41" spans="2:17" x14ac:dyDescent="0.25">
      <c r="E41" s="244"/>
      <c r="F41" s="26"/>
      <c r="K41" s="256"/>
    </row>
    <row r="42" spans="2:17" x14ac:dyDescent="0.25">
      <c r="E42" s="25"/>
      <c r="F42" s="26"/>
    </row>
    <row r="43" spans="2:17" x14ac:dyDescent="0.25">
      <c r="B43" s="426" t="s">
        <v>574</v>
      </c>
      <c r="C43" s="426"/>
      <c r="D43" s="426"/>
      <c r="E43" s="426"/>
      <c r="F43" s="24"/>
      <c r="L43" s="268"/>
    </row>
    <row r="44" spans="2:17" ht="63.75" customHeight="1" x14ac:dyDescent="0.25">
      <c r="B44" s="19" t="s">
        <v>7</v>
      </c>
      <c r="C44" s="19" t="s">
        <v>73</v>
      </c>
      <c r="D44" s="19" t="str">
        <f>"Predicted Feed Intake Assuming " &amp;F38&amp;"% Mortality"</f>
        <v>Predicted Feed Intake Assuming 0% Mortality</v>
      </c>
      <c r="E44" s="19" t="s">
        <v>212</v>
      </c>
      <c r="F44" s="19" t="s">
        <v>209</v>
      </c>
      <c r="I44" s="19"/>
    </row>
    <row r="45" spans="2:17" x14ac:dyDescent="0.25">
      <c r="B45" s="2" t="str">
        <f>'Drop Down Lists'!B4</f>
        <v>Cornish Cross (7.5 wks)</v>
      </c>
      <c r="C45" s="5">
        <f>'Production Data'!H71</f>
        <v>5.5</v>
      </c>
      <c r="D45" s="18">
        <f>$C$18+(C45*$C$19)+(C45^2)*$C$20</f>
        <v>12.640275500316605</v>
      </c>
      <c r="E45" s="27">
        <f>D45-(D45*$E$38*$E$40)</f>
        <v>12.640275500316605</v>
      </c>
      <c r="F45" s="27">
        <f>E45-(E45*$E$39*$E$40)</f>
        <v>12.166265169054732</v>
      </c>
      <c r="H45" s="23" t="s">
        <v>213</v>
      </c>
    </row>
    <row r="46" spans="2:17" x14ac:dyDescent="0.25">
      <c r="B46" s="2" t="str">
        <f>'Drop Down Lists'!B5</f>
        <v>Freedom Ranger (10 wks)</v>
      </c>
      <c r="C46" s="5">
        <f>'Production Data'!H72</f>
        <v>5.5</v>
      </c>
      <c r="D46" s="18">
        <f>($C$18+(C46*$C$19)+(C46^2)*$C$20)*D22</f>
        <v>17.696385700443244</v>
      </c>
      <c r="E46" s="27">
        <f>D46-(D46*$E$38*$E$40)</f>
        <v>17.696385700443244</v>
      </c>
      <c r="F46" s="27">
        <f>E46-(E46*$E$39*$E$40)</f>
        <v>17.032771236676624</v>
      </c>
    </row>
    <row r="47" spans="2:17" x14ac:dyDescent="0.25">
      <c r="B47" s="2" t="str">
        <f>'Drop Down Lists'!B6</f>
        <v>Heritage Breed (12 wks)</v>
      </c>
      <c r="C47" s="5">
        <f>'Production Data'!H73</f>
        <v>4.5</v>
      </c>
      <c r="D47" s="18">
        <f>($C$18+(C47*$C$19)+(C47^2)*$C$20)*D23</f>
        <v>15.574530886467915</v>
      </c>
      <c r="E47" s="27">
        <f>D47-(D47*$E$38*$E$40)</f>
        <v>15.574530886467915</v>
      </c>
      <c r="F47" s="27">
        <f>E47-(E47*$E$39*$E$40)</f>
        <v>14.990485978225369</v>
      </c>
    </row>
    <row r="48" spans="2:17" x14ac:dyDescent="0.25">
      <c r="B48" s="2" t="str">
        <f>'Drop Down Lists'!B7</f>
        <v>Heritage Breed (14 wks)</v>
      </c>
      <c r="C48" s="5">
        <f>'Production Data'!H74</f>
        <v>4.5</v>
      </c>
      <c r="D48" s="18">
        <f>($C$18+(C48*$C$19)+(C48^2)*$C$20)*D24</f>
        <v>19.468163608084893</v>
      </c>
      <c r="E48" s="27">
        <f>D48-(D48*$E$38*$E$40)</f>
        <v>19.468163608084893</v>
      </c>
      <c r="F48" s="27">
        <f>E48-(E48*$E$39*$E$40)</f>
        <v>18.73810747278171</v>
      </c>
    </row>
    <row r="49" spans="2:6" x14ac:dyDescent="0.25">
      <c r="B49" s="2" t="str">
        <f>'Drop Down Lists'!B8</f>
        <v>Heritage Breed (18 wks)</v>
      </c>
      <c r="C49" s="5">
        <f>'Production Data'!H75</f>
        <v>4.5</v>
      </c>
      <c r="D49" s="18">
        <f>($C$18+(C49*$C$19)+(C49^2)*$C$20)*D25</f>
        <v>23.361796329701871</v>
      </c>
      <c r="E49" s="27">
        <f>D49-(D49*$E$38*$E$40)</f>
        <v>23.361796329701871</v>
      </c>
      <c r="F49" s="27">
        <f>E49-(E49*$E$39*$E$40)</f>
        <v>22.485728967338051</v>
      </c>
    </row>
    <row r="50" spans="2:6" x14ac:dyDescent="0.25">
      <c r="B50" s="2"/>
      <c r="C50" s="5"/>
      <c r="D50" s="18"/>
      <c r="E50" s="27"/>
      <c r="F50" s="27"/>
    </row>
    <row r="52" spans="2:6" x14ac:dyDescent="0.25">
      <c r="B52" s="426" t="s">
        <v>573</v>
      </c>
      <c r="C52" s="426"/>
      <c r="D52" s="426"/>
      <c r="E52" s="426"/>
      <c r="F52" s="24"/>
    </row>
    <row r="53" spans="2:6" ht="60" x14ac:dyDescent="0.25">
      <c r="B53" s="19" t="s">
        <v>7</v>
      </c>
      <c r="C53" s="19" t="s">
        <v>73</v>
      </c>
      <c r="D53" s="19" t="str">
        <f>"Predicted Feed Intake Assuming " &amp;F38&amp;"% Mortality"</f>
        <v>Predicted Feed Intake Assuming 0% Mortality</v>
      </c>
      <c r="E53" s="19" t="s">
        <v>212</v>
      </c>
      <c r="F53" s="19" t="s">
        <v>209</v>
      </c>
    </row>
    <row r="54" spans="2:6" x14ac:dyDescent="0.25">
      <c r="B54" s="2" t="str">
        <f>'Drop Down Lists'!B4</f>
        <v>Cornish Cross (7.5 wks)</v>
      </c>
      <c r="C54" s="1">
        <f>Summary!$K$7</f>
        <v>5.5</v>
      </c>
      <c r="D54" s="27">
        <f>$C$18+(C54*$C$19)+(C54^2)*$C$20</f>
        <v>12.640275500316605</v>
      </c>
      <c r="E54" s="27">
        <f>D54-(D54*$E$38*$E$40)</f>
        <v>12.640275500316605</v>
      </c>
      <c r="F54" s="27">
        <f>E54-(E54*$E$39*$E$40)</f>
        <v>12.166265169054732</v>
      </c>
    </row>
    <row r="55" spans="2:6" x14ac:dyDescent="0.25">
      <c r="B55" s="2" t="str">
        <f>'Drop Down Lists'!B5</f>
        <v>Freedom Ranger (10 wks)</v>
      </c>
      <c r="C55" s="1">
        <f>Summary!$K$7</f>
        <v>5.5</v>
      </c>
      <c r="D55" s="27">
        <f>($C$18+(C55*$C$19)+(C55^2)*$C$20)*$D$22</f>
        <v>17.696385700443244</v>
      </c>
      <c r="E55" s="27">
        <f>D55-(D55*$E$38*$E$40)</f>
        <v>17.696385700443244</v>
      </c>
      <c r="F55" s="27">
        <f>E55-(E55*$E$39*$E$40)</f>
        <v>17.032771236676624</v>
      </c>
    </row>
    <row r="56" spans="2:6" x14ac:dyDescent="0.25">
      <c r="B56" s="2" t="str">
        <f>'Drop Down Lists'!B6</f>
        <v>Heritage Breed (12 wks)</v>
      </c>
      <c r="C56" s="1">
        <f>Summary!$K$7</f>
        <v>5.5</v>
      </c>
      <c r="D56" s="27">
        <f>($C$18+(C56*$C$19)+(C56^2)*$C$20)*$D$23</f>
        <v>20.224440800506571</v>
      </c>
      <c r="E56" s="27">
        <f>D56-(D56*$E$38*$E$40)</f>
        <v>20.224440800506571</v>
      </c>
      <c r="F56" s="27">
        <f>E56-(E56*$E$39*$E$40)</f>
        <v>19.466024270487573</v>
      </c>
    </row>
    <row r="57" spans="2:6" x14ac:dyDescent="0.25">
      <c r="B57" s="2" t="str">
        <f>'Drop Down Lists'!B7</f>
        <v>Heritage Breed (14 wks)</v>
      </c>
      <c r="C57" s="1">
        <f>Summary!$K$7</f>
        <v>5.5</v>
      </c>
      <c r="D57" s="27">
        <f>($C$18+(C57*$C$19)+(C57^2)*$C$20)*$D$24</f>
        <v>25.28055100063321</v>
      </c>
      <c r="E57" s="27">
        <f>D57-(D57*$E$38*$E$40)</f>
        <v>25.28055100063321</v>
      </c>
      <c r="F57" s="27">
        <f>E57-(E57*$E$39*$E$40)</f>
        <v>24.332530338109464</v>
      </c>
    </row>
    <row r="58" spans="2:6" x14ac:dyDescent="0.25">
      <c r="B58" s="2" t="str">
        <f>'Drop Down Lists'!B8</f>
        <v>Heritage Breed (18 wks)</v>
      </c>
      <c r="C58" s="1">
        <f>Summary!$K$7</f>
        <v>5.5</v>
      </c>
      <c r="D58" s="27">
        <f>($C$18+(C58*$C$19)+(C58^2)*$C$20)*$D$25</f>
        <v>30.336661200759849</v>
      </c>
      <c r="E58" s="27">
        <f>D58-(D58*$E$38*$E$40)</f>
        <v>30.336661200759849</v>
      </c>
      <c r="F58" s="27">
        <f>E58-(E58*$E$39*$E$40)</f>
        <v>29.199036405731356</v>
      </c>
    </row>
    <row r="59" spans="2:6" x14ac:dyDescent="0.25">
      <c r="B59" s="2"/>
      <c r="C59" s="1"/>
      <c r="D59" s="22"/>
      <c r="E59" s="27"/>
    </row>
    <row r="60" spans="2:6" x14ac:dyDescent="0.25">
      <c r="B60" s="243" t="s">
        <v>413</v>
      </c>
      <c r="C60" s="240">
        <f>Summary!$K$7</f>
        <v>5.5</v>
      </c>
      <c r="D60" s="241"/>
      <c r="E60" s="242"/>
      <c r="F60" s="246">
        <f>'Production Data'!G39</f>
        <v>18.5</v>
      </c>
    </row>
    <row r="61" spans="2:6" x14ac:dyDescent="0.25">
      <c r="B61" s="19"/>
      <c r="C61" s="19"/>
      <c r="D61" s="19"/>
      <c r="E61" s="19"/>
      <c r="F61" s="19"/>
    </row>
    <row r="62" spans="2:6" x14ac:dyDescent="0.25">
      <c r="B62" s="2"/>
      <c r="C62" s="1"/>
      <c r="D62" s="27"/>
      <c r="E62" s="27"/>
      <c r="F62" s="27"/>
    </row>
    <row r="63" spans="2:6" x14ac:dyDescent="0.25">
      <c r="B63" s="2"/>
      <c r="C63" s="1"/>
      <c r="D63" s="27"/>
      <c r="E63" s="27"/>
      <c r="F63" s="27"/>
    </row>
    <row r="64" spans="2:6" x14ac:dyDescent="0.25">
      <c r="B64" s="2"/>
      <c r="C64" s="1"/>
      <c r="D64" s="27"/>
      <c r="E64" s="27"/>
      <c r="F64" s="27"/>
    </row>
    <row r="65" spans="2:6" x14ac:dyDescent="0.25">
      <c r="B65" s="2"/>
      <c r="C65" s="1"/>
      <c r="D65" s="27"/>
      <c r="E65" s="27"/>
      <c r="F65" s="27"/>
    </row>
    <row r="66" spans="2:6" x14ac:dyDescent="0.25">
      <c r="B66" s="2"/>
      <c r="C66" s="1"/>
      <c r="D66" s="27"/>
      <c r="E66" s="27"/>
      <c r="F66" s="27"/>
    </row>
    <row r="67" spans="2:6" x14ac:dyDescent="0.25">
      <c r="C67" s="1"/>
      <c r="D67" s="1"/>
    </row>
    <row r="68" spans="2:6" x14ac:dyDescent="0.25">
      <c r="C68" s="1"/>
      <c r="D68" s="1"/>
    </row>
    <row r="69" spans="2:6" x14ac:dyDescent="0.25">
      <c r="B69" s="2"/>
      <c r="C69" s="1"/>
      <c r="D69" s="22"/>
    </row>
    <row r="70" spans="2:6" x14ac:dyDescent="0.25">
      <c r="B70" s="2"/>
      <c r="C70" s="1"/>
      <c r="D70" s="22"/>
    </row>
    <row r="71" spans="2:6" x14ac:dyDescent="0.25">
      <c r="B71" s="2"/>
      <c r="C71" s="1"/>
      <c r="D71" s="22"/>
    </row>
    <row r="72" spans="2:6" x14ac:dyDescent="0.25">
      <c r="B72" s="2"/>
      <c r="C72" s="1"/>
      <c r="D72" s="22"/>
    </row>
    <row r="73" spans="2:6" x14ac:dyDescent="0.25">
      <c r="B73" s="2"/>
      <c r="C73" s="1"/>
      <c r="D73" s="22"/>
    </row>
  </sheetData>
  <mergeCells count="8">
    <mergeCell ref="B22:C22"/>
    <mergeCell ref="B43:E43"/>
    <mergeCell ref="B52:E52"/>
    <mergeCell ref="E26:I26"/>
    <mergeCell ref="M26:Q26"/>
    <mergeCell ref="B25:C25"/>
    <mergeCell ref="B24:C24"/>
    <mergeCell ref="B23:C23"/>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vt:lpstr>
      <vt:lpstr>Production Data</vt:lpstr>
      <vt:lpstr>Processing</vt:lpstr>
      <vt:lpstr>Transportation</vt:lpstr>
      <vt:lpstr>Depreciable Items</vt:lpstr>
      <vt:lpstr>Summary</vt:lpstr>
      <vt:lpstr>Drop Down Lists</vt:lpstr>
      <vt:lpstr>Notes for Changes</vt:lpstr>
      <vt:lpstr>Feed Intake</vt:lpstr>
      <vt:lpstr>Sheet1</vt:lpstr>
      <vt:lpstr>Feed Conversion</vt:lpstr>
      <vt:lpstr>Production Q's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Samantha Kindred</dc:creator>
  <cp:lastModifiedBy>Atherton, Nicole C.</cp:lastModifiedBy>
  <cp:lastPrinted>2017-06-15T12:24:42Z</cp:lastPrinted>
  <dcterms:created xsi:type="dcterms:W3CDTF">2014-07-11T12:55:02Z</dcterms:created>
  <dcterms:modified xsi:type="dcterms:W3CDTF">2024-06-12T17:51:29Z</dcterms:modified>
</cp:coreProperties>
</file>