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ordan\Documents\Grad Students\Robert Ellis\"/>
    </mc:Choice>
  </mc:AlternateContent>
  <bookViews>
    <workbookView xWindow="0" yWindow="0" windowWidth="19140" windowHeight="11100"/>
  </bookViews>
  <sheets>
    <sheet name="Cover" sheetId="4" r:id="rId1"/>
    <sheet name="Instructions" sheetId="3" r:id="rId2"/>
    <sheet name="Cover Crop Cost" sheetId="2" r:id="rId3"/>
    <sheet name="Machinery Cost" sheetId="1" state="hidden" r:id="rId4"/>
  </sheets>
  <externalReferences>
    <externalReference r:id="rId5"/>
    <externalReference r:id="rId6"/>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0" i="2" l="1"/>
  <c r="B28" i="2" l="1"/>
  <c r="N83" i="1" l="1"/>
  <c r="N82" i="1"/>
  <c r="N81" i="1"/>
  <c r="R23" i="1"/>
  <c r="R24" i="1"/>
  <c r="R21" i="1"/>
  <c r="E69" i="1"/>
  <c r="E71" i="1"/>
  <c r="S23" i="1"/>
  <c r="S24" i="1"/>
  <c r="S21" i="1"/>
  <c r="F69" i="1"/>
  <c r="F71" i="1"/>
  <c r="Q23" i="1"/>
  <c r="Q24" i="1"/>
  <c r="Q21" i="1"/>
  <c r="D69" i="1"/>
  <c r="D71" i="1"/>
  <c r="I24" i="2"/>
  <c r="N97" i="1"/>
  <c r="N98" i="1"/>
  <c r="N99" i="1"/>
  <c r="N96" i="1"/>
  <c r="M97" i="1"/>
  <c r="M98" i="1"/>
  <c r="M99" i="1"/>
  <c r="M96" i="1"/>
  <c r="L97" i="1"/>
  <c r="L98" i="1"/>
  <c r="L99" i="1"/>
  <c r="J100" i="1"/>
  <c r="L96" i="1"/>
  <c r="N89" i="1"/>
  <c r="N90" i="1"/>
  <c r="N91" i="1"/>
  <c r="N88" i="1"/>
  <c r="M89" i="1"/>
  <c r="M90" i="1"/>
  <c r="M91" i="1"/>
  <c r="M88" i="1"/>
  <c r="L89" i="1"/>
  <c r="L90" i="1"/>
  <c r="L91" i="1"/>
  <c r="L88" i="1"/>
  <c r="J92" i="1"/>
  <c r="J84" i="1"/>
  <c r="J76" i="1"/>
  <c r="J68" i="1"/>
  <c r="P65" i="1"/>
  <c r="P66" i="1"/>
  <c r="P67" i="1"/>
  <c r="P64" i="1"/>
  <c r="O66" i="1"/>
  <c r="H79" i="1"/>
  <c r="O63" i="1"/>
  <c r="P63" i="1"/>
  <c r="Q81" i="1"/>
  <c r="Q82" i="1"/>
  <c r="Q83" i="1"/>
  <c r="Q80" i="1"/>
  <c r="P81" i="1"/>
  <c r="P82" i="1"/>
  <c r="P83" i="1"/>
  <c r="P80" i="1"/>
  <c r="O81" i="1"/>
  <c r="O82" i="1"/>
  <c r="O83" i="1"/>
  <c r="O80" i="1"/>
  <c r="N80" i="1"/>
  <c r="L81" i="1"/>
  <c r="L82" i="1"/>
  <c r="L83" i="1"/>
  <c r="L80" i="1"/>
  <c r="L64" i="1"/>
  <c r="P73" i="1"/>
  <c r="P74" i="1"/>
  <c r="P75" i="1"/>
  <c r="O73" i="1"/>
  <c r="O74" i="1"/>
  <c r="O75" i="1"/>
  <c r="N73" i="1"/>
  <c r="N74" i="1"/>
  <c r="N75" i="1"/>
  <c r="L73" i="1"/>
  <c r="L74" i="1"/>
  <c r="L75" i="1"/>
  <c r="P72" i="1"/>
  <c r="O72" i="1"/>
  <c r="N72" i="1"/>
  <c r="L72" i="1"/>
  <c r="M66" i="1"/>
  <c r="M67" i="1"/>
  <c r="L65" i="1"/>
  <c r="L66" i="1"/>
  <c r="L67" i="1"/>
  <c r="H39" i="1"/>
  <c r="T23" i="1"/>
  <c r="B57" i="1"/>
  <c r="E61" i="1" s="1"/>
  <c r="B49" i="1"/>
  <c r="E52" i="1" s="1"/>
  <c r="B33" i="1"/>
  <c r="D36" i="1" s="1"/>
  <c r="M3" i="1"/>
  <c r="M2" i="1"/>
  <c r="D75" i="1" s="1"/>
  <c r="I23" i="2"/>
  <c r="I22" i="2"/>
  <c r="T61" i="1"/>
  <c r="G77" i="1" s="1"/>
  <c r="O67" i="1" s="1"/>
  <c r="T60" i="1"/>
  <c r="T58" i="1"/>
  <c r="G76" i="1"/>
  <c r="R60" i="1"/>
  <c r="S60" i="1"/>
  <c r="R61" i="1"/>
  <c r="S61" i="1"/>
  <c r="Q61" i="1"/>
  <c r="Q60" i="1"/>
  <c r="Q48" i="1"/>
  <c r="S58" i="1"/>
  <c r="F76" i="1"/>
  <c r="N66" i="1"/>
  <c r="R58" i="1"/>
  <c r="E76" i="1"/>
  <c r="Q58" i="1"/>
  <c r="D76" i="1"/>
  <c r="R49" i="1"/>
  <c r="S49" i="1"/>
  <c r="T49" i="1"/>
  <c r="Q49" i="1"/>
  <c r="R48" i="1"/>
  <c r="S48" i="1"/>
  <c r="T48" i="1"/>
  <c r="T45" i="1"/>
  <c r="S45" i="1"/>
  <c r="R45" i="1"/>
  <c r="Q45" i="1"/>
  <c r="U11" i="1"/>
  <c r="U12" i="1"/>
  <c r="T12" i="1"/>
  <c r="S12" i="1"/>
  <c r="R12" i="1"/>
  <c r="Q12" i="1"/>
  <c r="T11" i="1"/>
  <c r="S11" i="1"/>
  <c r="R11" i="1"/>
  <c r="Q11" i="1"/>
  <c r="T24" i="1"/>
  <c r="T21" i="1"/>
  <c r="R36" i="1"/>
  <c r="S36" i="1"/>
  <c r="T36" i="1"/>
  <c r="Q36" i="1"/>
  <c r="R35" i="1"/>
  <c r="S35" i="1"/>
  <c r="T35" i="1"/>
  <c r="Q35" i="1"/>
  <c r="T33" i="1"/>
  <c r="S33" i="1"/>
  <c r="R33" i="1"/>
  <c r="E44" i="1"/>
  <c r="Q33" i="1"/>
  <c r="E77" i="1"/>
  <c r="M64" i="1"/>
  <c r="D77" i="1"/>
  <c r="F77" i="1"/>
  <c r="N67" i="1"/>
  <c r="E45" i="1"/>
  <c r="F45" i="1"/>
  <c r="N65" i="1"/>
  <c r="M82" i="1"/>
  <c r="D44" i="1"/>
  <c r="D45" i="1"/>
  <c r="F44" i="1"/>
  <c r="M65" i="1"/>
  <c r="N64" i="1"/>
  <c r="G36" i="1" l="1"/>
  <c r="G60" i="1"/>
  <c r="S82" i="1" s="1"/>
  <c r="D42" i="1"/>
  <c r="E59" i="1"/>
  <c r="F75" i="1"/>
  <c r="F59" i="1"/>
  <c r="R81" i="1" s="1"/>
  <c r="D60" i="1"/>
  <c r="D61" i="1"/>
  <c r="F43" i="1"/>
  <c r="G59" i="1"/>
  <c r="S81" i="1" s="1"/>
  <c r="G75" i="1"/>
  <c r="D37" i="1"/>
  <c r="E75" i="1"/>
  <c r="D34" i="1"/>
  <c r="E53" i="1"/>
  <c r="M83" i="1" s="1"/>
  <c r="D59" i="1"/>
  <c r="F37" i="1"/>
  <c r="G37" i="1"/>
  <c r="G61" i="1"/>
  <c r="S83" i="1" s="1"/>
  <c r="G58" i="1"/>
  <c r="S80" i="1" s="1"/>
  <c r="D58" i="1"/>
  <c r="E50" i="1"/>
  <c r="F74" i="1"/>
  <c r="F79" i="1" s="1"/>
  <c r="D74" i="1"/>
  <c r="D79" i="1" s="1"/>
  <c r="G34" i="1"/>
  <c r="G50" i="1"/>
  <c r="E43" i="1"/>
  <c r="D43" i="1"/>
  <c r="E37" i="1"/>
  <c r="M75" i="1" s="1"/>
  <c r="J75" i="1" s="1"/>
  <c r="D21" i="1" s="1"/>
  <c r="G52" i="1"/>
  <c r="D53" i="1"/>
  <c r="D52" i="1"/>
  <c r="F50" i="1"/>
  <c r="F42" i="1"/>
  <c r="E74" i="1"/>
  <c r="E79" i="1" s="1"/>
  <c r="D35" i="1"/>
  <c r="E35" i="1"/>
  <c r="M73" i="1" s="1"/>
  <c r="J73" i="1" s="1"/>
  <c r="D19" i="1" s="1"/>
  <c r="G53" i="1"/>
  <c r="F53" i="1"/>
  <c r="G51" i="1"/>
  <c r="E36" i="1"/>
  <c r="M74" i="1" s="1"/>
  <c r="J74" i="1" s="1"/>
  <c r="D20" i="1" s="1"/>
  <c r="E42" i="1"/>
  <c r="E58" i="1"/>
  <c r="G74" i="1"/>
  <c r="O64" i="1" s="1"/>
  <c r="F35" i="1"/>
  <c r="E34" i="1"/>
  <c r="M72" i="1" s="1"/>
  <c r="J72" i="1" s="1"/>
  <c r="D18" i="1" s="1"/>
  <c r="F58" i="1"/>
  <c r="R80" i="1" s="1"/>
  <c r="D51" i="1"/>
  <c r="F51" i="1"/>
  <c r="F36" i="1"/>
  <c r="E60" i="1"/>
  <c r="F61" i="1"/>
  <c r="R83" i="1" s="1"/>
  <c r="E51" i="1"/>
  <c r="M81" i="1" s="1"/>
  <c r="F60" i="1"/>
  <c r="R82" i="1" s="1"/>
  <c r="F34" i="1"/>
  <c r="F52" i="1"/>
  <c r="D50" i="1"/>
  <c r="G35" i="1"/>
  <c r="P85" i="1"/>
  <c r="J91" i="1"/>
  <c r="F21" i="1" s="1"/>
  <c r="N93" i="1"/>
  <c r="J98" i="1"/>
  <c r="G20" i="1" s="1"/>
  <c r="Q85" i="1"/>
  <c r="M101" i="1"/>
  <c r="L85" i="1"/>
  <c r="M69" i="1"/>
  <c r="M93" i="1"/>
  <c r="J66" i="1"/>
  <c r="C20" i="1" s="1"/>
  <c r="J90" i="1"/>
  <c r="F20" i="1" s="1"/>
  <c r="J97" i="1"/>
  <c r="G19" i="1" s="1"/>
  <c r="N85" i="1"/>
  <c r="J99" i="1"/>
  <c r="G21" i="1" s="1"/>
  <c r="L93" i="1"/>
  <c r="N101" i="1"/>
  <c r="L101" i="1"/>
  <c r="L77" i="1"/>
  <c r="O77" i="1"/>
  <c r="J96" i="1"/>
  <c r="G18" i="1" s="1"/>
  <c r="P77" i="1"/>
  <c r="N77" i="1"/>
  <c r="P69" i="1"/>
  <c r="N69" i="1"/>
  <c r="J67" i="1"/>
  <c r="C21" i="1" s="1"/>
  <c r="L69" i="1"/>
  <c r="O85" i="1"/>
  <c r="J89" i="1"/>
  <c r="F19" i="1" s="1"/>
  <c r="J88" i="1"/>
  <c r="F18" i="1" s="1"/>
  <c r="R85" i="1" l="1"/>
  <c r="J82" i="1"/>
  <c r="E20" i="1" s="1"/>
  <c r="D39" i="1"/>
  <c r="E47" i="1"/>
  <c r="D47" i="1"/>
  <c r="S85" i="1"/>
  <c r="J81" i="1"/>
  <c r="E19" i="1" s="1"/>
  <c r="J83" i="1"/>
  <c r="E21" i="1" s="1"/>
  <c r="H21" i="1" s="1"/>
  <c r="C29" i="2" s="1"/>
  <c r="M77" i="1"/>
  <c r="J77" i="1" s="1"/>
  <c r="D23" i="1" s="1"/>
  <c r="E55" i="1"/>
  <c r="M80" i="1"/>
  <c r="J64" i="1"/>
  <c r="C18" i="1" s="1"/>
  <c r="G79" i="1"/>
  <c r="O65" i="1"/>
  <c r="J65" i="1" s="1"/>
  <c r="C19" i="1" s="1"/>
  <c r="D63" i="1"/>
  <c r="F47" i="1"/>
  <c r="G63" i="1"/>
  <c r="D55" i="1"/>
  <c r="F39" i="1"/>
  <c r="E39" i="1"/>
  <c r="F55" i="1"/>
  <c r="G55" i="1"/>
  <c r="E63" i="1"/>
  <c r="F63" i="1"/>
  <c r="G39" i="1"/>
  <c r="H20" i="1"/>
  <c r="I17" i="2" s="1"/>
  <c r="J93" i="1"/>
  <c r="F23" i="1" s="1"/>
  <c r="J101" i="1"/>
  <c r="G23" i="1" s="1"/>
  <c r="H19" i="1" l="1"/>
  <c r="I16" i="2" s="1"/>
  <c r="J80" i="1"/>
  <c r="E18" i="1" s="1"/>
  <c r="H18" i="1" s="1"/>
  <c r="I18" i="2" s="1"/>
  <c r="M85" i="1"/>
  <c r="J85" i="1" s="1"/>
  <c r="E23" i="1" s="1"/>
  <c r="O69" i="1"/>
  <c r="J69" i="1" s="1"/>
  <c r="C23" i="1" s="1"/>
  <c r="C27" i="2" l="1"/>
  <c r="C31" i="2" s="1"/>
  <c r="H23" i="1"/>
</calcChain>
</file>

<file path=xl/sharedStrings.xml><?xml version="1.0" encoding="utf-8"?>
<sst xmlns="http://schemas.openxmlformats.org/spreadsheetml/2006/main" count="304" uniqueCount="125">
  <si>
    <t>Labor</t>
  </si>
  <si>
    <t>Fuel</t>
  </si>
  <si>
    <t>Planting Method</t>
  </si>
  <si>
    <t>Broadcast</t>
  </si>
  <si>
    <t>Planter Type</t>
  </si>
  <si>
    <t>Broadcst/Aerial</t>
  </si>
  <si>
    <t>Sprayer Used</t>
  </si>
  <si>
    <t>40 Foot Broadcast</t>
  </si>
  <si>
    <t>Roller/Crimper Used</t>
  </si>
  <si>
    <t>20 Foot</t>
  </si>
  <si>
    <t>Roller/Crimp with planter</t>
  </si>
  <si>
    <t>Unit</t>
  </si>
  <si>
    <t>Price</t>
  </si>
  <si>
    <t>Total</t>
  </si>
  <si>
    <t>Machinery Cost</t>
  </si>
  <si>
    <t>Fuel &amp; Lube</t>
  </si>
  <si>
    <t>Acre</t>
  </si>
  <si>
    <t>Calculate Machinery Cost?</t>
  </si>
  <si>
    <t xml:space="preserve">Yes </t>
  </si>
  <si>
    <t>Repairs</t>
  </si>
  <si>
    <t xml:space="preserve">Custom Hiring </t>
  </si>
  <si>
    <t>Custom Machinery</t>
  </si>
  <si>
    <t xml:space="preserve">Inputs  </t>
  </si>
  <si>
    <t>Seed</t>
  </si>
  <si>
    <t>Bags per Acre</t>
  </si>
  <si>
    <t xml:space="preserve">Herbicide </t>
  </si>
  <si>
    <t>Other</t>
  </si>
  <si>
    <t xml:space="preserve">Total Variable Cost </t>
  </si>
  <si>
    <t xml:space="preserve">Machinery </t>
  </si>
  <si>
    <t>Choose one</t>
  </si>
  <si>
    <t>No</t>
  </si>
  <si>
    <t>Broadcast Sprayer</t>
  </si>
  <si>
    <t>20 Foot Broadcast</t>
  </si>
  <si>
    <t>30 Foot Broadcast</t>
  </si>
  <si>
    <t>50 Foot Broadcast</t>
  </si>
  <si>
    <t>60 Foot Self-Propelled</t>
  </si>
  <si>
    <t>80 Foot Self-Propelled</t>
  </si>
  <si>
    <t>90 Foot Self-Propelled</t>
  </si>
  <si>
    <t>120 Foot Self-Propelled</t>
  </si>
  <si>
    <t>Did Not Spray</t>
  </si>
  <si>
    <t>Plant Options</t>
  </si>
  <si>
    <t>Aerial</t>
  </si>
  <si>
    <t>Drilled</t>
  </si>
  <si>
    <t xml:space="preserve">Fuel </t>
  </si>
  <si>
    <t>Tractor</t>
  </si>
  <si>
    <t>2WD 130</t>
  </si>
  <si>
    <t>MFWD 150</t>
  </si>
  <si>
    <t>MFWD 170</t>
  </si>
  <si>
    <t>MFWD190</t>
  </si>
  <si>
    <t>MFED 225</t>
  </si>
  <si>
    <t xml:space="preserve">Planter </t>
  </si>
  <si>
    <t>12 Foot</t>
  </si>
  <si>
    <t>30 Foot</t>
  </si>
  <si>
    <t>Purchase Price</t>
  </si>
  <si>
    <t>Interest rate</t>
  </si>
  <si>
    <t xml:space="preserve">Salvage </t>
  </si>
  <si>
    <t>Self Propelled</t>
  </si>
  <si>
    <t>R&amp;M</t>
  </si>
  <si>
    <t>Roller/Crimper</t>
  </si>
  <si>
    <t>38 Foot</t>
  </si>
  <si>
    <t>Did Not Roller/Crimp</t>
  </si>
  <si>
    <t>Useful life</t>
  </si>
  <si>
    <t>Termination Method</t>
  </si>
  <si>
    <t>Roller/Crimp with sprayer</t>
  </si>
  <si>
    <t xml:space="preserve">Roller/Crimp Independently </t>
  </si>
  <si>
    <t>Spray only</t>
  </si>
  <si>
    <t>Annual use</t>
  </si>
  <si>
    <t>Fuel Consumption</t>
  </si>
  <si>
    <t>Depreciation</t>
  </si>
  <si>
    <t>Interest expense</t>
  </si>
  <si>
    <t>Planter-Cover Crop</t>
  </si>
  <si>
    <t>Roller</t>
  </si>
  <si>
    <t>Sprayer</t>
  </si>
  <si>
    <t>Roller/Spray</t>
  </si>
  <si>
    <t>Roller/Planter</t>
  </si>
  <si>
    <t>Sum</t>
  </si>
  <si>
    <t xml:space="preserve">Labor </t>
  </si>
  <si>
    <t xml:space="preserve">Ownership </t>
  </si>
  <si>
    <t>Performance rate</t>
  </si>
  <si>
    <t>Total per acre</t>
  </si>
  <si>
    <t>Broadcst Sprayer</t>
  </si>
  <si>
    <t>40 Foot</t>
  </si>
  <si>
    <t>50 Foot</t>
  </si>
  <si>
    <t>Scaler</t>
  </si>
  <si>
    <t xml:space="preserve">Roller/Crimper </t>
  </si>
  <si>
    <t>Self-Propelled</t>
  </si>
  <si>
    <t>60 Foot</t>
  </si>
  <si>
    <t>80 Foot</t>
  </si>
  <si>
    <t>90 Foot</t>
  </si>
  <si>
    <t>120 Foot</t>
  </si>
  <si>
    <t>Roller with Sprayer</t>
  </si>
  <si>
    <t>20 foot</t>
  </si>
  <si>
    <t>30 foot</t>
  </si>
  <si>
    <t>38/30 foot</t>
  </si>
  <si>
    <t>Fuel Consuption</t>
  </si>
  <si>
    <t>Planter</t>
  </si>
  <si>
    <t>Self propelled Sprayer</t>
  </si>
  <si>
    <t>Planter Sum</t>
  </si>
  <si>
    <t>Planter Indepenent</t>
  </si>
  <si>
    <t>Roller with Planter</t>
  </si>
  <si>
    <t>Roller Indepenent sum</t>
  </si>
  <si>
    <t xml:space="preserve">Roller Indepenent </t>
  </si>
  <si>
    <t>Spray Indepentent Sum</t>
  </si>
  <si>
    <t xml:space="preserve">Spray indepentent </t>
  </si>
  <si>
    <t xml:space="preserve">Broadcast </t>
  </si>
  <si>
    <t xml:space="preserve"> </t>
  </si>
  <si>
    <t>Roller/Sprayer Sum</t>
  </si>
  <si>
    <t>Roller/ Planter Sum</t>
  </si>
  <si>
    <t>Cost</t>
  </si>
  <si>
    <t>Labor Per Hour</t>
  </si>
  <si>
    <t xml:space="preserve">Total Cost </t>
  </si>
  <si>
    <t xml:space="preserve">Estimated Seed Cost </t>
  </si>
  <si>
    <t>Clover</t>
  </si>
  <si>
    <t>Radish</t>
  </si>
  <si>
    <t>Oats</t>
  </si>
  <si>
    <t>Cereal Rye</t>
  </si>
  <si>
    <t>Hairy Vetch</t>
  </si>
  <si>
    <t>Rapeseed</t>
  </si>
  <si>
    <t>Quantity</t>
  </si>
  <si>
    <t>Fuel Per Gallon</t>
  </si>
  <si>
    <t>Per 50 lb. bag</t>
  </si>
  <si>
    <t>ESTIMATED COST PER ACRE FOR COVER CROPS</t>
  </si>
  <si>
    <t>How Was It Terminated</t>
  </si>
  <si>
    <t>Number Of Passes With The Sprayer</t>
  </si>
  <si>
    <t>Number of Passes With The Roller/Crimper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</si>
</sst>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10" x14ac:knownFonts="1">
    <font>
      <sz val="11"/>
      <color theme="1"/>
      <name val="Calibri"/>
      <family val="2"/>
      <scheme val="minor"/>
    </font>
    <font>
      <sz val="11"/>
      <color theme="1"/>
      <name val="Calibri"/>
      <family val="2"/>
      <scheme val="minor"/>
    </font>
    <font>
      <b/>
      <sz val="18"/>
      <color theme="1"/>
      <name val="Calibri"/>
      <family val="2"/>
      <scheme val="minor"/>
    </font>
    <font>
      <b/>
      <sz val="14"/>
      <color theme="1"/>
      <name val="Calibri"/>
      <family val="2"/>
      <scheme val="minor"/>
    </font>
    <font>
      <b/>
      <sz val="11"/>
      <color theme="8"/>
      <name val="Calibri"/>
      <family val="2"/>
      <scheme val="minor"/>
    </font>
    <font>
      <sz val="12"/>
      <color theme="1"/>
      <name val="Calibri"/>
      <family val="2"/>
      <scheme val="minor"/>
    </font>
    <font>
      <b/>
      <sz val="14"/>
      <color theme="8"/>
      <name val="Calibri"/>
      <family val="2"/>
      <scheme val="minor"/>
    </font>
    <font>
      <b/>
      <sz val="16"/>
      <color theme="1"/>
      <name val="Calibri"/>
      <family val="2"/>
      <scheme val="minor"/>
    </font>
    <font>
      <sz val="14"/>
      <color theme="1"/>
      <name val="Calibri"/>
      <family val="2"/>
      <scheme val="minor"/>
    </font>
    <font>
      <b/>
      <sz val="16"/>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theme="2" tint="-0.499984740745262"/>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87">
    <xf numFmtId="0" fontId="0" fillId="0" borderId="0" xfId="0"/>
    <xf numFmtId="0" fontId="0" fillId="0" borderId="1" xfId="0" applyBorder="1"/>
    <xf numFmtId="0" fontId="0" fillId="0" borderId="2" xfId="0" applyBorder="1"/>
    <xf numFmtId="0" fontId="0" fillId="0" borderId="1" xfId="0" applyFill="1" applyBorder="1"/>
    <xf numFmtId="0" fontId="0" fillId="0" borderId="3" xfId="0" applyFill="1" applyBorder="1"/>
    <xf numFmtId="0" fontId="0" fillId="2" borderId="1" xfId="0" applyFill="1" applyBorder="1"/>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7" borderId="1" xfId="0" applyFill="1" applyBorder="1"/>
    <xf numFmtId="0" fontId="0" fillId="8" borderId="1" xfId="0" applyFill="1" applyBorder="1"/>
    <xf numFmtId="44" fontId="0" fillId="0" borderId="1" xfId="1" applyFont="1" applyBorder="1"/>
    <xf numFmtId="9" fontId="0" fillId="0" borderId="1" xfId="2" applyFont="1" applyBorder="1"/>
    <xf numFmtId="44" fontId="0" fillId="0" borderId="0" xfId="1" applyFont="1" applyBorder="1"/>
    <xf numFmtId="44" fontId="0" fillId="0" borderId="1" xfId="1" applyFont="1" applyFill="1" applyBorder="1"/>
    <xf numFmtId="9" fontId="0" fillId="0" borderId="1" xfId="2" applyFont="1" applyFill="1" applyBorder="1"/>
    <xf numFmtId="44" fontId="0" fillId="0" borderId="5" xfId="1" applyFont="1" applyBorder="1"/>
    <xf numFmtId="0" fontId="0" fillId="0" borderId="1" xfId="1" applyNumberFormat="1" applyFont="1" applyFill="1" applyBorder="1"/>
    <xf numFmtId="0" fontId="0" fillId="0" borderId="0" xfId="0" applyBorder="1"/>
    <xf numFmtId="0" fontId="4" fillId="0" borderId="0" xfId="0" applyFont="1" applyBorder="1" applyAlignment="1">
      <alignment horizontal="center"/>
    </xf>
    <xf numFmtId="44" fontId="0" fillId="0" borderId="0" xfId="1" applyFont="1"/>
    <xf numFmtId="2" fontId="0" fillId="0" borderId="1" xfId="0" applyNumberFormat="1" applyBorder="1"/>
    <xf numFmtId="0" fontId="0" fillId="0" borderId="0" xfId="0" applyAlignment="1">
      <alignment vertical="center"/>
    </xf>
    <xf numFmtId="2" fontId="0" fillId="4" borderId="1" xfId="0" applyNumberFormat="1" applyFill="1" applyBorder="1"/>
    <xf numFmtId="2" fontId="0" fillId="0" borderId="0" xfId="0" applyNumberFormat="1"/>
    <xf numFmtId="2" fontId="0" fillId="6" borderId="1" xfId="0" applyNumberFormat="1" applyFill="1" applyBorder="1"/>
    <xf numFmtId="2" fontId="0" fillId="5" borderId="1" xfId="0" applyNumberFormat="1" applyFill="1" applyBorder="1"/>
    <xf numFmtId="2" fontId="0" fillId="3" borderId="1" xfId="0" applyNumberFormat="1" applyFill="1" applyBorder="1"/>
    <xf numFmtId="2" fontId="0" fillId="0" borderId="0" xfId="0" applyNumberFormat="1" applyBorder="1"/>
    <xf numFmtId="2" fontId="0" fillId="0" borderId="0" xfId="0" applyNumberFormat="1" applyFill="1" applyBorder="1"/>
    <xf numFmtId="44" fontId="0" fillId="2" borderId="1" xfId="1" applyFont="1" applyFill="1" applyBorder="1"/>
    <xf numFmtId="44" fontId="0" fillId="0" borderId="0" xfId="0" applyNumberFormat="1"/>
    <xf numFmtId="44" fontId="0" fillId="0" borderId="1" xfId="0" applyNumberFormat="1" applyBorder="1"/>
    <xf numFmtId="0" fontId="0" fillId="0" borderId="0" xfId="0" applyFill="1" applyBorder="1"/>
    <xf numFmtId="0" fontId="0" fillId="10" borderId="0" xfId="0" applyFill="1" applyBorder="1" applyAlignment="1">
      <alignment vertical="center"/>
    </xf>
    <xf numFmtId="0" fontId="0" fillId="10" borderId="0" xfId="0" applyFill="1" applyBorder="1"/>
    <xf numFmtId="0" fontId="0" fillId="10" borderId="0" xfId="0" applyFill="1" applyBorder="1" applyAlignment="1">
      <alignment horizontal="left" vertical="center" indent="5"/>
    </xf>
    <xf numFmtId="0" fontId="0" fillId="0" borderId="0" xfId="0" applyAlignment="1"/>
    <xf numFmtId="0" fontId="0" fillId="8" borderId="4" xfId="0" applyFill="1" applyBorder="1" applyAlignment="1">
      <alignment horizontal="center"/>
    </xf>
    <xf numFmtId="0" fontId="0" fillId="8" borderId="7" xfId="0" applyFill="1" applyBorder="1" applyAlignment="1">
      <alignment horizontal="center"/>
    </xf>
    <xf numFmtId="0" fontId="0" fillId="8" borderId="4" xfId="0" applyFill="1" applyBorder="1" applyAlignment="1">
      <alignment horizontal="center" vertical="top" wrapText="1"/>
    </xf>
    <xf numFmtId="0" fontId="0" fillId="8" borderId="7" xfId="0" applyFill="1" applyBorder="1" applyAlignment="1">
      <alignment horizontal="center" vertical="top" wrapText="1"/>
    </xf>
    <xf numFmtId="0" fontId="0" fillId="0" borderId="0" xfId="0" applyBorder="1" applyAlignment="1">
      <alignment horizontal="center"/>
    </xf>
    <xf numFmtId="0" fontId="2" fillId="8" borderId="1" xfId="0" applyFont="1" applyFill="1" applyBorder="1" applyAlignment="1">
      <alignment horizontal="center"/>
    </xf>
    <xf numFmtId="0" fontId="0" fillId="0" borderId="0" xfId="0" applyAlignment="1">
      <alignment horizontal="center"/>
    </xf>
    <xf numFmtId="0" fontId="0" fillId="0" borderId="1" xfId="0" applyBorder="1" applyAlignment="1">
      <alignment horizontal="center"/>
    </xf>
    <xf numFmtId="0" fontId="5" fillId="8" borderId="1" xfId="0" applyFont="1" applyFill="1" applyBorder="1"/>
    <xf numFmtId="0" fontId="0" fillId="8" borderId="1" xfId="0" applyFill="1" applyBorder="1" applyAlignment="1">
      <alignment horizontal="left"/>
    </xf>
    <xf numFmtId="0" fontId="7" fillId="0" borderId="1" xfId="0" applyFont="1" applyBorder="1" applyAlignment="1"/>
    <xf numFmtId="44" fontId="7" fillId="0" borderId="1" xfId="1" applyFont="1" applyBorder="1" applyAlignment="1"/>
    <xf numFmtId="0" fontId="7" fillId="0" borderId="1" xfId="0" applyFont="1" applyBorder="1"/>
    <xf numFmtId="0" fontId="8" fillId="0" borderId="1" xfId="0" applyFont="1" applyBorder="1"/>
    <xf numFmtId="0" fontId="3" fillId="0" borderId="1" xfId="0" applyFont="1" applyBorder="1" applyAlignment="1">
      <alignment horizontal="center"/>
    </xf>
    <xf numFmtId="0" fontId="8" fillId="0" borderId="1" xfId="0" applyFont="1" applyBorder="1" applyAlignment="1">
      <alignment horizontal="center"/>
    </xf>
    <xf numFmtId="44" fontId="8" fillId="0" borderId="1" xfId="1" applyFont="1" applyBorder="1"/>
    <xf numFmtId="0" fontId="3" fillId="0" borderId="1" xfId="0" applyFont="1" applyBorder="1" applyAlignment="1">
      <alignment horizontal="left"/>
    </xf>
    <xf numFmtId="0" fontId="3" fillId="9" borderId="2" xfId="0" applyFont="1" applyFill="1" applyBorder="1" applyAlignment="1">
      <alignment horizontal="center" vertical="top" wrapText="1"/>
    </xf>
    <xf numFmtId="0" fontId="3" fillId="9" borderId="3" xfId="0" applyFont="1" applyFill="1" applyBorder="1" applyAlignment="1">
      <alignment horizontal="center" vertical="top" wrapText="1"/>
    </xf>
    <xf numFmtId="2" fontId="8" fillId="0" borderId="1" xfId="0" applyNumberFormat="1" applyFont="1" applyBorder="1"/>
    <xf numFmtId="0" fontId="3" fillId="9" borderId="5" xfId="0" applyFont="1" applyFill="1" applyBorder="1" applyAlignment="1">
      <alignment horizontal="center" vertical="top" wrapText="1"/>
    </xf>
    <xf numFmtId="0" fontId="8" fillId="0" borderId="1" xfId="0" applyFont="1" applyBorder="1" applyAlignment="1">
      <alignment horizontal="left"/>
    </xf>
    <xf numFmtId="0" fontId="8" fillId="0" borderId="4" xfId="0" applyFont="1" applyBorder="1" applyAlignment="1">
      <alignment horizontal="center"/>
    </xf>
    <xf numFmtId="0" fontId="8" fillId="0" borderId="7"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8" fillId="0" borderId="6" xfId="0" applyFont="1" applyBorder="1" applyAlignment="1">
      <alignment horizontal="center"/>
    </xf>
    <xf numFmtId="0" fontId="8" fillId="0" borderId="12" xfId="0" applyFont="1" applyBorder="1" applyAlignment="1">
      <alignment horizontal="center"/>
    </xf>
    <xf numFmtId="0" fontId="8" fillId="0" borderId="13" xfId="0" applyFont="1" applyBorder="1" applyAlignment="1">
      <alignment horizontal="center"/>
    </xf>
    <xf numFmtId="0" fontId="7" fillId="0" borderId="0" xfId="0" applyFont="1" applyAlignment="1"/>
    <xf numFmtId="0" fontId="8" fillId="0" borderId="0" xfId="0" applyFont="1" applyAlignment="1">
      <alignment horizontal="right"/>
    </xf>
    <xf numFmtId="0" fontId="8" fillId="0" borderId="8" xfId="0" applyFont="1" applyBorder="1" applyAlignment="1">
      <alignment horizontal="right"/>
    </xf>
    <xf numFmtId="164" fontId="6" fillId="0" borderId="7" xfId="1" applyNumberFormat="1" applyFont="1" applyBorder="1" applyAlignment="1" applyProtection="1">
      <alignment horizontal="center"/>
      <protection locked="0"/>
    </xf>
    <xf numFmtId="164" fontId="6" fillId="0" borderId="1" xfId="1" applyNumberFormat="1" applyFont="1" applyBorder="1" applyAlignment="1" applyProtection="1">
      <alignment horizontal="center"/>
      <protection locked="0"/>
    </xf>
    <xf numFmtId="0" fontId="6" fillId="0" borderId="7" xfId="0" applyFont="1" applyBorder="1" applyAlignment="1" applyProtection="1">
      <alignment horizontal="center"/>
      <protection locked="0"/>
    </xf>
    <xf numFmtId="0" fontId="6" fillId="0" borderId="1" xfId="0" applyFont="1" applyBorder="1" applyAlignment="1" applyProtection="1">
      <alignment horizontal="center"/>
      <protection locked="0"/>
    </xf>
    <xf numFmtId="0" fontId="6" fillId="0" borderId="4" xfId="0" applyNumberFormat="1" applyFont="1" applyBorder="1" applyAlignment="1" applyProtection="1">
      <alignment horizontal="center"/>
      <protection locked="0"/>
    </xf>
    <xf numFmtId="0" fontId="6" fillId="0" borderId="7" xfId="0" applyNumberFormat="1" applyFont="1" applyBorder="1" applyAlignment="1" applyProtection="1">
      <alignment horizontal="center"/>
      <protection locked="0"/>
    </xf>
    <xf numFmtId="0" fontId="6" fillId="0" borderId="1" xfId="0" applyFont="1" applyBorder="1" applyProtection="1">
      <protection locked="0"/>
    </xf>
    <xf numFmtId="164" fontId="6" fillId="0" borderId="1" xfId="1" applyNumberFormat="1" applyFont="1" applyBorder="1" applyProtection="1">
      <protection locked="0"/>
    </xf>
    <xf numFmtId="0" fontId="3" fillId="9" borderId="1" xfId="0" applyFont="1" applyFill="1" applyBorder="1" applyAlignment="1" applyProtection="1">
      <alignment horizontal="center" vertical="center" wrapText="1"/>
      <protection locked="0"/>
    </xf>
    <xf numFmtId="164" fontId="8" fillId="0" borderId="1" xfId="1" applyNumberFormat="1" applyFont="1" applyBorder="1" applyProtection="1">
      <protection hidden="1"/>
    </xf>
    <xf numFmtId="164" fontId="8" fillId="0" borderId="1" xfId="0" applyNumberFormat="1" applyFont="1" applyBorder="1" applyProtection="1">
      <protection hidden="1"/>
    </xf>
    <xf numFmtId="164" fontId="7" fillId="0" borderId="1" xfId="1" applyNumberFormat="1" applyFont="1" applyBorder="1" applyProtection="1">
      <protection hidden="1"/>
    </xf>
    <xf numFmtId="164" fontId="9" fillId="0" borderId="1" xfId="1" applyNumberFormat="1" applyFont="1" applyFill="1" applyBorder="1" applyProtection="1">
      <protection hidden="1"/>
    </xf>
    <xf numFmtId="164" fontId="7" fillId="0" borderId="1" xfId="0" applyNumberFormat="1" applyFont="1" applyBorder="1" applyProtection="1">
      <protection hidden="1"/>
    </xf>
  </cellXfs>
  <cellStyles count="3">
    <cellStyle name="Currency" xfId="1" builtinId="4"/>
    <cellStyle name="Normal" xfId="0" builtinId="0"/>
    <cellStyle name="Percent" xfId="2" builtinId="5"/>
  </cellStyles>
  <dxfs count="4">
    <dxf>
      <font>
        <b/>
        <i val="0"/>
      </font>
      <numFmt numFmtId="164" formatCode="&quot;$&quot;#,##0.00"/>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ont>
        <b/>
        <i val="0"/>
      </font>
      <numFmt numFmtId="164" formatCode="&quot;$&quot;#,##0.00"/>
      <fill>
        <patternFill patternType="none">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emf"/><Relationship Id="rId5" Type="http://schemas.openxmlformats.org/officeDocument/2006/relationships/image" Target="../media/image7.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258233</xdr:colOff>
      <xdr:row>0</xdr:row>
      <xdr:rowOff>23018</xdr:rowOff>
    </xdr:from>
    <xdr:to>
      <xdr:col>20</xdr:col>
      <xdr:colOff>184879</xdr:colOff>
      <xdr:row>27</xdr:row>
      <xdr:rowOff>10591</xdr:rowOff>
    </xdr:to>
    <xdr:grpSp>
      <xdr:nvGrpSpPr>
        <xdr:cNvPr id="15" name="Group 14"/>
        <xdr:cNvGrpSpPr/>
      </xdr:nvGrpSpPr>
      <xdr:grpSpPr>
        <a:xfrm>
          <a:off x="258233" y="23018"/>
          <a:ext cx="12118646" cy="5131073"/>
          <a:chOff x="295275" y="161925"/>
          <a:chExt cx="12074657" cy="5112544"/>
        </a:xfrm>
      </xdr:grpSpPr>
      <xdr:sp macro="" textlink="">
        <xdr:nvSpPr>
          <xdr:cNvPr id="3" name="TextBox 2"/>
          <xdr:cNvSpPr txBox="1"/>
        </xdr:nvSpPr>
        <xdr:spPr>
          <a:xfrm>
            <a:off x="295275" y="161925"/>
            <a:ext cx="9063037" cy="5112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800" b="1"/>
          </a:p>
          <a:p>
            <a:pPr algn="ctr"/>
            <a:endParaRPr lang="en-US" sz="1800" b="1"/>
          </a:p>
          <a:p>
            <a:pPr algn="ctr"/>
            <a:endParaRPr lang="en-US" sz="1800" b="1"/>
          </a:p>
          <a:p>
            <a:pPr algn="ctr"/>
            <a:endParaRPr lang="en-US" sz="1800" b="1"/>
          </a:p>
          <a:p>
            <a:pPr algn="ctr"/>
            <a:r>
              <a:rPr lang="en-US" sz="2000" b="1"/>
              <a:t>ECONOMIC COSTS FOR ESTABLISHING AND TERMINATING COVER CROPS</a:t>
            </a:r>
          </a:p>
          <a:p>
            <a:endParaRPr lang="en-US" sz="1400"/>
          </a:p>
          <a:p>
            <a:r>
              <a:rPr lang="en-US" sz="1600">
                <a:latin typeface="+mn-lt"/>
                <a:cs typeface="Times New Roman" panose="02020603050405020304" pitchFamily="18" charset="0"/>
              </a:rPr>
              <a:t>This decision tool has been created to assist producers in calculating the direct cost of implementing cover crops into their current rotation. This tool uses input and machinery costs to generate an estimated cost associated with growing cover crops. No revenue streams or beneficial factors were taken into account in this tool. To use the cover crop tool, proceed to the next tab below marked "Instructions." </a:t>
            </a:r>
          </a:p>
          <a:p>
            <a:r>
              <a:rPr lang="en-US" sz="1400">
                <a:solidFill>
                  <a:schemeClr val="dk1"/>
                </a:solidFill>
                <a:effectLst/>
                <a:latin typeface="+mn-lt"/>
                <a:ea typeface="+mn-ea"/>
                <a:cs typeface="+mn-cs"/>
              </a:rPr>
              <a:t> </a:t>
            </a:r>
            <a:endParaRPr lang="en-US" sz="1400">
              <a:effectLst/>
              <a:latin typeface="+mn-lt"/>
            </a:endParaRPr>
          </a:p>
          <a:p>
            <a:r>
              <a:rPr lang="en-US" sz="1400">
                <a:solidFill>
                  <a:schemeClr val="dk1"/>
                </a:solidFill>
                <a:effectLst/>
                <a:latin typeface="+mn-lt"/>
                <a:ea typeface="+mn-ea"/>
                <a:cs typeface="+mn-cs"/>
              </a:rPr>
              <a:t> </a:t>
            </a:r>
            <a:endParaRPr lang="en-US" sz="1600" b="1">
              <a:effectLst/>
            </a:endParaRPr>
          </a:p>
          <a:p>
            <a:r>
              <a:rPr lang="en-US" sz="1600" b="1">
                <a:solidFill>
                  <a:schemeClr val="dk1"/>
                </a:solidFill>
                <a:effectLst/>
                <a:latin typeface="+mn-lt"/>
                <a:ea typeface="+mn-ea"/>
                <a:cs typeface="+mn-cs"/>
              </a:rPr>
              <a:t>For more information, contact</a:t>
            </a:r>
          </a:p>
          <a:p>
            <a:endParaRPr lang="en-US" sz="1600" b="1">
              <a:effectLst/>
            </a:endParaRPr>
          </a:p>
          <a:p>
            <a:r>
              <a:rPr lang="en-US" sz="1400">
                <a:solidFill>
                  <a:schemeClr val="dk1"/>
                </a:solidFill>
                <a:effectLst/>
                <a:latin typeface="+mn-lt"/>
                <a:ea typeface="+mn-ea"/>
                <a:cs typeface="+mn-cs"/>
              </a:rPr>
              <a:t>Jordan Shockley                                                            Robert</a:t>
            </a:r>
            <a:r>
              <a:rPr lang="en-US" sz="1400" baseline="0">
                <a:solidFill>
                  <a:schemeClr val="dk1"/>
                </a:solidFill>
                <a:effectLst/>
                <a:latin typeface="+mn-lt"/>
                <a:ea typeface="+mn-ea"/>
                <a:cs typeface="+mn-cs"/>
              </a:rPr>
              <a:t> Ellis</a:t>
            </a:r>
            <a:endParaRPr lang="en-US" sz="1400">
              <a:effectLst/>
            </a:endParaRPr>
          </a:p>
          <a:p>
            <a:r>
              <a:rPr lang="en-US" sz="1400">
                <a:solidFill>
                  <a:schemeClr val="dk1"/>
                </a:solidFill>
                <a:effectLst/>
                <a:latin typeface="+mn-lt"/>
                <a:ea typeface="+mn-ea"/>
                <a:cs typeface="+mn-cs"/>
              </a:rPr>
              <a:t>Assistant Extension Professor                                    Graduate</a:t>
            </a:r>
            <a:r>
              <a:rPr lang="en-US" sz="1400" baseline="0">
                <a:solidFill>
                  <a:schemeClr val="dk1"/>
                </a:solidFill>
                <a:effectLst/>
                <a:latin typeface="+mn-lt"/>
                <a:ea typeface="+mn-ea"/>
                <a:cs typeface="+mn-cs"/>
              </a:rPr>
              <a:t> Research Assistant</a:t>
            </a:r>
            <a:endParaRPr lang="en-US" sz="1400">
              <a:effectLst/>
            </a:endParaRPr>
          </a:p>
          <a:p>
            <a:r>
              <a:rPr lang="en-US" sz="1400">
                <a:solidFill>
                  <a:schemeClr val="dk1"/>
                </a:solidFill>
                <a:effectLst/>
                <a:latin typeface="+mn-lt"/>
                <a:ea typeface="+mn-ea"/>
                <a:cs typeface="+mn-cs"/>
              </a:rPr>
              <a:t>Agricultural Economics                                                Agricultural Economics</a:t>
            </a:r>
            <a:endParaRPr lang="en-US" sz="1400">
              <a:effectLst/>
            </a:endParaRPr>
          </a:p>
          <a:p>
            <a:r>
              <a:rPr lang="en-US" sz="1400">
                <a:solidFill>
                  <a:schemeClr val="dk1"/>
                </a:solidFill>
                <a:effectLst/>
                <a:latin typeface="+mn-lt"/>
                <a:ea typeface="+mn-ea"/>
                <a:cs typeface="+mn-cs"/>
              </a:rPr>
              <a:t>jordan.shockley@uky.edu                                          </a:t>
            </a:r>
            <a:r>
              <a:rPr lang="en-US" sz="1400" baseline="0">
                <a:solidFill>
                  <a:schemeClr val="dk1"/>
                </a:solidFill>
                <a:effectLst/>
                <a:latin typeface="+mn-lt"/>
                <a:ea typeface="+mn-ea"/>
                <a:cs typeface="+mn-cs"/>
              </a:rPr>
              <a:t>robert.ellis@uky.edu </a:t>
            </a:r>
            <a:endParaRPr lang="en-US" sz="1400">
              <a:effectLst/>
            </a:endParaRPr>
          </a:p>
          <a:p>
            <a:r>
              <a:rPr lang="en-US" sz="1400">
                <a:solidFill>
                  <a:schemeClr val="dk1"/>
                </a:solidFill>
                <a:effectLst/>
                <a:latin typeface="+mn-lt"/>
                <a:ea typeface="+mn-ea"/>
                <a:cs typeface="+mn-cs"/>
              </a:rPr>
              <a:t>859-218-4391                                                                859-218-5209</a:t>
            </a:r>
            <a:endParaRPr lang="en-US" sz="1400">
              <a:effectLst/>
            </a:endParaRPr>
          </a:p>
          <a:p>
            <a:endParaRPr lang="en-US" sz="1400"/>
          </a:p>
        </xdr:txBody>
      </xdr:sp>
      <xdr:pic>
        <xdr:nvPicPr>
          <xdr:cNvPr id="5" name="Picture 4"/>
          <xdr:cNvPicPr>
            <a:picLocks noChangeAspect="1"/>
          </xdr:cNvPicPr>
        </xdr:nvPicPr>
        <xdr:blipFill>
          <a:blip xmlns:r="http://schemas.openxmlformats.org/officeDocument/2006/relationships" r:embed="rId1"/>
          <a:stretch>
            <a:fillRect/>
          </a:stretch>
        </xdr:blipFill>
        <xdr:spPr>
          <a:xfrm>
            <a:off x="10120313" y="392907"/>
            <a:ext cx="2249619" cy="1511939"/>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404812" y="333375"/>
            <a:ext cx="9144793" cy="432854"/>
          </a:xfrm>
          <a:prstGeom prst="rect">
            <a:avLst/>
          </a:prstGeom>
        </xdr:spPr>
      </xdr:pic>
    </xdr:grpSp>
    <xdr:clientData/>
  </xdr:twoCellAnchor>
  <xdr:twoCellAnchor>
    <xdr:from>
      <xdr:col>0</xdr:col>
      <xdr:colOff>359833</xdr:colOff>
      <xdr:row>25</xdr:row>
      <xdr:rowOff>181553</xdr:rowOff>
    </xdr:from>
    <xdr:to>
      <xdr:col>19</xdr:col>
      <xdr:colOff>529167</xdr:colOff>
      <xdr:row>30</xdr:row>
      <xdr:rowOff>42330</xdr:rowOff>
    </xdr:to>
    <xdr:grpSp>
      <xdr:nvGrpSpPr>
        <xdr:cNvPr id="14" name="Group 13"/>
        <xdr:cNvGrpSpPr/>
      </xdr:nvGrpSpPr>
      <xdr:grpSpPr>
        <a:xfrm>
          <a:off x="359833" y="4944053"/>
          <a:ext cx="11751734" cy="813277"/>
          <a:chOff x="133350" y="4639667"/>
          <a:chExt cx="8293157" cy="489010"/>
        </a:xfrm>
      </xdr:grpSpPr>
      <xdr:grpSp>
        <xdr:nvGrpSpPr>
          <xdr:cNvPr id="16" name="Group 15"/>
          <xdr:cNvGrpSpPr/>
        </xdr:nvGrpSpPr>
        <xdr:grpSpPr>
          <a:xfrm>
            <a:off x="1765277" y="4639667"/>
            <a:ext cx="6661230" cy="433946"/>
            <a:chOff x="1924584" y="6620866"/>
            <a:chExt cx="8186727" cy="433947"/>
          </a:xfrm>
        </xdr:grpSpPr>
        <xdr:pic>
          <xdr:nvPicPr>
            <xdr:cNvPr id="20" name="Picture 19" descr="ces-footer-black"/>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10"/>
            <a:stretch/>
          </xdr:blipFill>
          <xdr:spPr bwMode="auto">
            <a:xfrm>
              <a:off x="1924584" y="6620866"/>
              <a:ext cx="7064138" cy="35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TextBox 20"/>
            <xdr:cNvSpPr txBox="1"/>
          </xdr:nvSpPr>
          <xdr:spPr>
            <a:xfrm>
              <a:off x="1932290" y="6837253"/>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8" name="Picture 1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191859</xdr:colOff>
      <xdr:row>0</xdr:row>
      <xdr:rowOff>13607</xdr:rowOff>
    </xdr:from>
    <xdr:to>
      <xdr:col>22</xdr:col>
      <xdr:colOff>517072</xdr:colOff>
      <xdr:row>67</xdr:row>
      <xdr:rowOff>176893</xdr:rowOff>
    </xdr:to>
    <xdr:grpSp>
      <xdr:nvGrpSpPr>
        <xdr:cNvPr id="11" name="Group 10"/>
        <xdr:cNvGrpSpPr/>
      </xdr:nvGrpSpPr>
      <xdr:grpSpPr>
        <a:xfrm>
          <a:off x="191859" y="13607"/>
          <a:ext cx="13736413" cy="12926786"/>
          <a:chOff x="123824" y="76200"/>
          <a:chExt cx="13796284" cy="12926786"/>
        </a:xfrm>
      </xdr:grpSpPr>
      <xdr:sp macro="" textlink="">
        <xdr:nvSpPr>
          <xdr:cNvPr id="2" name="TextBox 1"/>
          <xdr:cNvSpPr txBox="1"/>
        </xdr:nvSpPr>
        <xdr:spPr>
          <a:xfrm>
            <a:off x="123824" y="76200"/>
            <a:ext cx="13796284" cy="12926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0"/>
              </a:spcAft>
              <a:buFont typeface="+mj-lt"/>
              <a:buAutoNum type="arabicParen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r>
              <a:rPr lang="en-US" sz="1800">
                <a:effectLst/>
                <a:latin typeface="Calibri" panose="020F0502020204030204" pitchFamily="34" charset="0"/>
                <a:ea typeface="Calibri" panose="020F0502020204030204" pitchFamily="34" charset="0"/>
                <a:cs typeface="Times New Roman" panose="02020603050405020304" pitchFamily="18" charset="0"/>
              </a:rPr>
              <a:t>Under the Cost tab, fill in the elements that are colored </a:t>
            </a:r>
            <a:r>
              <a:rPr lang="en-US" sz="1800" b="1">
                <a:solidFill>
                  <a:srgbClr val="2E74B5"/>
                </a:solidFill>
                <a:effectLst/>
                <a:latin typeface="Calibri" panose="020F0502020204030204" pitchFamily="34" charset="0"/>
                <a:ea typeface="Calibri" panose="020F0502020204030204" pitchFamily="34" charset="0"/>
                <a:cs typeface="Times New Roman" panose="02020603050405020304" pitchFamily="18" charset="0"/>
              </a:rPr>
              <a:t>BLUE</a:t>
            </a:r>
            <a:r>
              <a:rPr lang="en-US" sz="1800">
                <a:effectLst/>
                <a:latin typeface="Calibri" panose="020F0502020204030204" pitchFamily="34" charset="0"/>
                <a:ea typeface="Calibri" panose="020F0502020204030204" pitchFamily="34" charset="0"/>
                <a:cs typeface="Times New Roman" panose="02020603050405020304" pitchFamily="18" charset="0"/>
              </a:rPr>
              <a:t> in each section </a:t>
            </a:r>
          </a:p>
          <a:p>
            <a:pPr marL="342900" marR="0" lvl="0" indent="-342900" defTabSz="914400" eaLnBrk="1" fontAlgn="auto" latinLnBrk="0" hangingPunct="1">
              <a:lnSpc>
                <a:spcPct val="107000"/>
              </a:lnSpc>
              <a:spcBef>
                <a:spcPts val="0"/>
              </a:spcBef>
              <a:spcAft>
                <a:spcPts val="0"/>
              </a:spcAft>
              <a:buClrTx/>
              <a:buSzTx/>
              <a:buFont typeface="+mj-lt"/>
              <a:buAutoNum type="arabicParenR"/>
              <a:tabLst/>
              <a:defRPr/>
            </a:pPr>
            <a:r>
              <a:rPr lang="en-US" sz="1800" baseline="0">
                <a:solidFill>
                  <a:schemeClr val="dk1"/>
                </a:solidFill>
                <a:effectLst/>
                <a:latin typeface="+mn-lt"/>
                <a:ea typeface="+mn-ea"/>
                <a:cs typeface="+mn-cs"/>
              </a:rPr>
              <a:t>If you are unable to read the dropdown menu clearly, click on the + icon at the bottom right corner of excel</a:t>
            </a:r>
          </a:p>
          <a:p>
            <a:pPr marL="342900" marR="0" lvl="0" indent="-342900" defTabSz="914400" eaLnBrk="1" fontAlgn="auto" latinLnBrk="0" hangingPunct="1">
              <a:lnSpc>
                <a:spcPct val="107000"/>
              </a:lnSpc>
              <a:spcBef>
                <a:spcPts val="0"/>
              </a:spcBef>
              <a:spcAft>
                <a:spcPts val="0"/>
              </a:spcAft>
              <a:buClrTx/>
              <a:buSzTx/>
              <a:buFont typeface="+mj-lt"/>
              <a:buAutoNum type="arabicParenR"/>
              <a:tabLst/>
              <a:defRP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defTabSz="914400" eaLnBrk="1" fontAlgn="auto" latinLnBrk="0" hangingPunct="1">
              <a:lnSpc>
                <a:spcPct val="107000"/>
              </a:lnSpc>
              <a:spcBef>
                <a:spcPts val="0"/>
              </a:spcBef>
              <a:spcAft>
                <a:spcPts val="0"/>
              </a:spcAft>
              <a:buClrTx/>
              <a:buSzTx/>
              <a:buFont typeface="+mj-lt"/>
              <a:buAutoNum type="arabicParenR"/>
              <a:tabLst/>
              <a:defRP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defTabSz="914400" eaLnBrk="1" fontAlgn="auto" latinLnBrk="0" hangingPunct="1">
              <a:lnSpc>
                <a:spcPct val="107000"/>
              </a:lnSpc>
              <a:spcBef>
                <a:spcPts val="0"/>
              </a:spcBef>
              <a:spcAft>
                <a:spcPts val="0"/>
              </a:spcAft>
              <a:buClrTx/>
              <a:buSzTx/>
              <a:buFont typeface="+mj-lt"/>
              <a:buAutoNum type="arabicParenR"/>
              <a:tabLst/>
              <a:defRPr/>
            </a:pP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arenR"/>
            </a:pPr>
            <a:r>
              <a:rPr lang="en-US" sz="1800">
                <a:effectLst/>
                <a:latin typeface="Calibri" panose="020F0502020204030204" pitchFamily="34" charset="0"/>
                <a:ea typeface="Calibri" panose="020F0502020204030204" pitchFamily="34" charset="0"/>
                <a:cs typeface="Times New Roman" panose="02020603050405020304" pitchFamily="18" charset="0"/>
              </a:rPr>
              <a:t>Description of  Cost</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the price of labor in $ per hour</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the price of diesel fuel in $ per gallon</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Using the dropdown, select one from the three cover crop planting methods</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Using the dropdown, select the Planter Type used to plant the cover crop.</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If method was broadcast or aerial, make sure to select </a:t>
            </a:r>
            <a:r>
              <a:rPr lang="en-US" sz="1800" b="1">
                <a:effectLst/>
                <a:latin typeface="Calibri" panose="020F0502020204030204" pitchFamily="34" charset="0"/>
                <a:ea typeface="Calibri" panose="020F0502020204030204" pitchFamily="34" charset="0"/>
                <a:cs typeface="Times New Roman" panose="02020603050405020304" pitchFamily="18" charset="0"/>
              </a:rPr>
              <a:t>Broadcast/Aerial</a:t>
            </a:r>
            <a:r>
              <a:rPr lang="en-US" sz="1800">
                <a:effectLst/>
                <a:latin typeface="Calibri" panose="020F0502020204030204" pitchFamily="34" charset="0"/>
                <a:ea typeface="Calibri" panose="020F0502020204030204" pitchFamily="34" charset="0"/>
                <a:cs typeface="Times New Roman" panose="02020603050405020304" pitchFamily="18" charset="0"/>
              </a:rPr>
              <a:t> in the Planter Type section</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Using the dropdown, select the Sprayer size used in termination</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If no sprayer was used select </a:t>
            </a:r>
            <a:r>
              <a:rPr lang="en-US" sz="1800" b="1">
                <a:effectLst/>
                <a:latin typeface="Calibri" panose="020F0502020204030204" pitchFamily="34" charset="0"/>
                <a:ea typeface="Calibri" panose="020F0502020204030204" pitchFamily="34" charset="0"/>
                <a:cs typeface="Times New Roman" panose="02020603050405020304" pitchFamily="18" charset="0"/>
              </a:rPr>
              <a:t>Did Not Spray</a:t>
            </a: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the number of passes across the field conducted by the sprayer</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Example: If it took two passes across the field to terminate the cover crop by spraying, enter 2 in this section</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Using the dropdown, select the size of the Roller/Crimper used in termination</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If no roller/crimper was not used then select </a:t>
            </a:r>
            <a:r>
              <a:rPr lang="en-US" sz="1800" b="1">
                <a:effectLst/>
                <a:latin typeface="Calibri" panose="020F0502020204030204" pitchFamily="34" charset="0"/>
                <a:ea typeface="Calibri" panose="020F0502020204030204" pitchFamily="34" charset="0"/>
                <a:cs typeface="Times New Roman" panose="02020603050405020304" pitchFamily="18" charset="0"/>
              </a:rPr>
              <a:t>Did Not Roller/Crimp</a:t>
            </a:r>
            <a:endParaRPr lang="en-US" sz="18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the number of passes across the field  conducted by the roller/crimper</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Example: If it took two passes across the field to terminate the cover crop by roller/crimping, enter 2 in this section </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Using the dropdown, select the appropriate termination process in the </a:t>
            </a:r>
            <a:r>
              <a:rPr lang="en-US" sz="1800" b="1">
                <a:effectLst/>
                <a:latin typeface="Calibri" panose="020F0502020204030204" pitchFamily="34" charset="0"/>
                <a:ea typeface="Calibri" panose="020F0502020204030204" pitchFamily="34" charset="0"/>
                <a:cs typeface="Times New Roman" panose="02020603050405020304" pitchFamily="18" charset="0"/>
              </a:rPr>
              <a:t>How was it terminated</a:t>
            </a:r>
            <a:r>
              <a:rPr lang="en-US" sz="1800">
                <a:effectLst/>
                <a:latin typeface="Calibri" panose="020F0502020204030204" pitchFamily="34" charset="0"/>
                <a:ea typeface="Calibri" panose="020F0502020204030204" pitchFamily="34" charset="0"/>
                <a:cs typeface="Times New Roman" panose="02020603050405020304" pitchFamily="18" charset="0"/>
              </a:rPr>
              <a:t> section</a:t>
            </a:r>
          </a:p>
          <a:p>
            <a:pPr marL="342900" marR="0" lvl="0" indent="-342900">
              <a:lnSpc>
                <a:spcPct val="107000"/>
              </a:lnSpc>
              <a:spcBef>
                <a:spcPts val="0"/>
              </a:spcBef>
              <a:spcAft>
                <a:spcPts val="0"/>
              </a:spcAft>
              <a:buFont typeface="+mj-lt"/>
              <a:buAutoNum type="arabicParenR"/>
            </a:pPr>
            <a:r>
              <a:rPr lang="en-US" sz="1800">
                <a:effectLst/>
                <a:latin typeface="Calibri" panose="020F0502020204030204" pitchFamily="34" charset="0"/>
                <a:ea typeface="Calibri" panose="020F0502020204030204" pitchFamily="34" charset="0"/>
                <a:cs typeface="Times New Roman" panose="02020603050405020304" pitchFamily="18" charset="0"/>
              </a:rPr>
              <a:t>Description of Machinery Cost</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If you would like the tool to calculate machinery cost using standard machinery costs, select yes from the dropdown in the </a:t>
            </a:r>
            <a:r>
              <a:rPr lang="en-US" sz="1800" b="1">
                <a:effectLst/>
                <a:latin typeface="Calibri" panose="020F0502020204030204" pitchFamily="34" charset="0"/>
                <a:ea typeface="Calibri" panose="020F0502020204030204" pitchFamily="34" charset="0"/>
                <a:cs typeface="Times New Roman" panose="02020603050405020304" pitchFamily="18" charset="0"/>
              </a:rPr>
              <a:t>Calculate Machinery Cost?</a:t>
            </a:r>
            <a:r>
              <a:rPr lang="en-US" sz="1800">
                <a:effectLst/>
                <a:latin typeface="Calibri" panose="020F0502020204030204" pitchFamily="34" charset="0"/>
                <a:ea typeface="Calibri" panose="020F0502020204030204" pitchFamily="34" charset="0"/>
                <a:cs typeface="Times New Roman" panose="02020603050405020304" pitchFamily="18" charset="0"/>
              </a:rPr>
              <a:t> section</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If you know your own fuel, repair, and labor costs per acre, then follow steps i-iv</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1 for quantity and enter the total price per acre for Fuel and Lube to establish and terminate the cover crop.</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1 for quantity and enter the total price per acre for Repairs &amp; Maintenance to establish and terminate the cover crop</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1 for quantity and enter the total price per acre for Labor to establish and terminate the cover crop</a:t>
            </a:r>
          </a:p>
          <a:p>
            <a:pPr marL="1143000" marR="0" lvl="2" indent="-228600">
              <a:lnSpc>
                <a:spcPct val="107000"/>
              </a:lnSpc>
              <a:spcBef>
                <a:spcPts val="0"/>
              </a:spcBef>
              <a:spcAft>
                <a:spcPts val="0"/>
              </a:spcAft>
              <a:buFont typeface="+mj-lt"/>
              <a:buAutoNum type="romanLcPeriod"/>
            </a:pPr>
            <a:r>
              <a:rPr lang="en-US" sz="1800">
                <a:effectLst/>
                <a:latin typeface="Calibri" panose="020F0502020204030204" pitchFamily="34" charset="0"/>
                <a:ea typeface="Calibri" panose="020F0502020204030204" pitchFamily="34" charset="0"/>
                <a:cs typeface="Times New Roman" panose="02020603050405020304" pitchFamily="18" charset="0"/>
              </a:rPr>
              <a:t>Then, select </a:t>
            </a:r>
            <a:r>
              <a:rPr lang="en-US" sz="1800" b="1">
                <a:effectLst/>
                <a:latin typeface="Calibri" panose="020F0502020204030204" pitchFamily="34" charset="0"/>
                <a:ea typeface="Calibri" panose="020F0502020204030204" pitchFamily="34" charset="0"/>
                <a:cs typeface="Times New Roman" panose="02020603050405020304" pitchFamily="18" charset="0"/>
              </a:rPr>
              <a:t>No </a:t>
            </a:r>
            <a:r>
              <a:rPr lang="en-US" sz="1800">
                <a:effectLst/>
                <a:latin typeface="Calibri" panose="020F0502020204030204" pitchFamily="34" charset="0"/>
                <a:ea typeface="Calibri" panose="020F0502020204030204" pitchFamily="34" charset="0"/>
                <a:cs typeface="Times New Roman" panose="02020603050405020304" pitchFamily="18" charset="0"/>
              </a:rPr>
              <a:t>from the dropdown in the </a:t>
            </a:r>
            <a:r>
              <a:rPr lang="en-US" sz="1800" b="1">
                <a:effectLst/>
                <a:latin typeface="Calibri" panose="020F0502020204030204" pitchFamily="34" charset="0"/>
                <a:ea typeface="Calibri" panose="020F0502020204030204" pitchFamily="34" charset="0"/>
                <a:cs typeface="Times New Roman" panose="02020603050405020304" pitchFamily="18" charset="0"/>
              </a:rPr>
              <a:t>Calculate Machinery Cost</a:t>
            </a:r>
            <a:r>
              <a:rPr lang="en-US" sz="1800">
                <a:effectLst/>
                <a:latin typeface="Calibri" panose="020F0502020204030204" pitchFamily="34" charset="0"/>
                <a:ea typeface="Calibri" panose="020F0502020204030204" pitchFamily="34" charset="0"/>
                <a:cs typeface="Times New Roman" panose="02020603050405020304" pitchFamily="18" charset="0"/>
              </a:rPr>
              <a:t> selection</a:t>
            </a:r>
          </a:p>
          <a:p>
            <a:pPr marL="342900" marR="0" lvl="0" indent="-342900">
              <a:lnSpc>
                <a:spcPct val="107000"/>
              </a:lnSpc>
              <a:spcBef>
                <a:spcPts val="0"/>
              </a:spcBef>
              <a:spcAft>
                <a:spcPts val="0"/>
              </a:spcAft>
              <a:buFont typeface="+mj-lt"/>
              <a:buAutoNum type="arabicParenR"/>
            </a:pPr>
            <a:r>
              <a:rPr lang="en-US" sz="1800">
                <a:effectLst/>
                <a:latin typeface="Calibri" panose="020F0502020204030204" pitchFamily="34" charset="0"/>
                <a:ea typeface="Calibri" panose="020F0502020204030204" pitchFamily="34" charset="0"/>
                <a:cs typeface="Times New Roman" panose="02020603050405020304" pitchFamily="18" charset="0"/>
              </a:rPr>
              <a:t>Description of Custom Hiring</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1 for the quantity in the Custom Machinery section if any custom work was hired during the establishment, growing, or terminating of the cover crop </a:t>
            </a:r>
          </a:p>
          <a:p>
            <a:pPr marL="742950" marR="0" lvl="1" indent="-285750">
              <a:lnSpc>
                <a:spcPct val="107000"/>
              </a:lnSpc>
              <a:spcBef>
                <a:spcPts val="0"/>
              </a:spcBef>
              <a:spcAft>
                <a:spcPts val="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Enter the price per acre for all custom work hired during the establishment, growing, or terminating of the cover crop I in the </a:t>
            </a:r>
            <a:r>
              <a:rPr lang="en-US" sz="1800" b="1">
                <a:effectLst/>
                <a:latin typeface="Calibri" panose="020F0502020204030204" pitchFamily="34" charset="0"/>
                <a:ea typeface="Calibri" panose="020F0502020204030204" pitchFamily="34" charset="0"/>
                <a:cs typeface="Times New Roman" panose="02020603050405020304" pitchFamily="18" charset="0"/>
              </a:rPr>
              <a:t>Custom Machinery</a:t>
            </a:r>
            <a:r>
              <a:rPr lang="en-US" sz="1800">
                <a:effectLst/>
                <a:latin typeface="Calibri" panose="020F0502020204030204" pitchFamily="34" charset="0"/>
                <a:ea typeface="Calibri" panose="020F0502020204030204" pitchFamily="34" charset="0"/>
                <a:cs typeface="Times New Roman" panose="02020603050405020304" pitchFamily="18" charset="0"/>
              </a:rPr>
              <a:t> section</a:t>
            </a:r>
          </a:p>
          <a:p>
            <a:pPr marL="342900" marR="0" lvl="0" indent="-342900">
              <a:lnSpc>
                <a:spcPct val="107000"/>
              </a:lnSpc>
              <a:spcBef>
                <a:spcPts val="0"/>
              </a:spcBef>
              <a:spcAft>
                <a:spcPts val="0"/>
              </a:spcAft>
              <a:buFont typeface="+mj-lt"/>
              <a:buAutoNum type="arabicParenR"/>
            </a:pPr>
            <a:r>
              <a:rPr lang="en-US" sz="1800">
                <a:effectLst/>
                <a:latin typeface="Calibri" panose="020F0502020204030204" pitchFamily="34" charset="0"/>
                <a:ea typeface="Calibri" panose="020F0502020204030204" pitchFamily="34" charset="0"/>
                <a:cs typeface="Times New Roman" panose="02020603050405020304" pitchFamily="18" charset="0"/>
              </a:rPr>
              <a:t>Description of Inputs</a:t>
            </a:r>
          </a:p>
          <a:p>
            <a:pPr marL="742950" marR="0" lvl="1" indent="-285750">
              <a:lnSpc>
                <a:spcPct val="107000"/>
              </a:lnSpc>
              <a:spcBef>
                <a:spcPts val="0"/>
              </a:spcBef>
              <a:spcAft>
                <a:spcPts val="0"/>
              </a:spcAft>
              <a:buFont typeface="+mj-lt"/>
              <a:buAutoNum type="alphaLcPeriod"/>
            </a:pPr>
            <a:r>
              <a:rPr lang="en-US" sz="1800" b="1">
                <a:effectLst/>
                <a:latin typeface="Calibri" panose="020F0502020204030204" pitchFamily="34" charset="0"/>
                <a:ea typeface="Calibri" panose="020F0502020204030204" pitchFamily="34" charset="0"/>
                <a:cs typeface="Times New Roman" panose="02020603050405020304" pitchFamily="18" charset="0"/>
              </a:rPr>
              <a:t>Seed</a:t>
            </a:r>
            <a:r>
              <a:rPr lang="en-US" sz="1800">
                <a:effectLst/>
                <a:latin typeface="Calibri" panose="020F0502020204030204" pitchFamily="34" charset="0"/>
                <a:ea typeface="Calibri" panose="020F0502020204030204" pitchFamily="34" charset="0"/>
                <a:cs typeface="Times New Roman" panose="02020603050405020304" pitchFamily="18" charset="0"/>
              </a:rPr>
              <a:t>: Enter the number of bags applied per acre in the quantity section and the cost per bag of seed in the price section </a:t>
            </a:r>
          </a:p>
          <a:p>
            <a:pPr marL="742950" marR="0" lvl="1" indent="-285750">
              <a:lnSpc>
                <a:spcPct val="107000"/>
              </a:lnSpc>
              <a:spcBef>
                <a:spcPts val="0"/>
              </a:spcBef>
              <a:spcAft>
                <a:spcPts val="0"/>
              </a:spcAft>
              <a:buFont typeface="+mj-lt"/>
              <a:buAutoNum type="alphaLcPeriod"/>
            </a:pPr>
            <a:r>
              <a:rPr lang="en-US" sz="1800" b="1">
                <a:effectLst/>
                <a:latin typeface="Calibri" panose="020F0502020204030204" pitchFamily="34" charset="0"/>
                <a:ea typeface="Calibri" panose="020F0502020204030204" pitchFamily="34" charset="0"/>
                <a:cs typeface="Times New Roman" panose="02020603050405020304" pitchFamily="18" charset="0"/>
              </a:rPr>
              <a:t>Herbicide</a:t>
            </a:r>
            <a:r>
              <a:rPr lang="en-US" sz="1800">
                <a:effectLst/>
                <a:latin typeface="Calibri" panose="020F0502020204030204" pitchFamily="34" charset="0"/>
                <a:ea typeface="Calibri" panose="020F0502020204030204" pitchFamily="34" charset="0"/>
                <a:cs typeface="Times New Roman" panose="02020603050405020304" pitchFamily="18" charset="0"/>
              </a:rPr>
              <a:t>: Enter the total cost per acre of herbicide in the price section </a:t>
            </a:r>
          </a:p>
          <a:p>
            <a:pPr marL="742950" marR="0" lvl="1" indent="-285750">
              <a:lnSpc>
                <a:spcPct val="107000"/>
              </a:lnSpc>
              <a:spcBef>
                <a:spcPts val="0"/>
              </a:spcBef>
              <a:spcAft>
                <a:spcPts val="800"/>
              </a:spcAft>
              <a:buFont typeface="+mj-lt"/>
              <a:buAutoNum type="alphaLcPeriod"/>
            </a:pPr>
            <a:r>
              <a:rPr lang="en-US" sz="1800" b="1">
                <a:effectLst/>
                <a:latin typeface="Calibri" panose="020F0502020204030204" pitchFamily="34" charset="0"/>
                <a:ea typeface="Calibri" panose="020F0502020204030204" pitchFamily="34" charset="0"/>
                <a:cs typeface="Times New Roman" panose="02020603050405020304" pitchFamily="18" charset="0"/>
              </a:rPr>
              <a:t>Other</a:t>
            </a:r>
            <a:r>
              <a:rPr lang="en-US" sz="1800">
                <a:effectLst/>
                <a:latin typeface="Calibri" panose="020F0502020204030204" pitchFamily="34" charset="0"/>
                <a:ea typeface="Calibri" panose="020F0502020204030204" pitchFamily="34" charset="0"/>
                <a:cs typeface="Times New Roman" panose="02020603050405020304" pitchFamily="18" charset="0"/>
              </a:rPr>
              <a:t>: Enter the total cost per acre of any other inputs used in during the establishment, growing or terminating of the cover crop </a:t>
            </a:r>
          </a:p>
          <a:p>
            <a:pPr marL="342900" marR="0" lvl="0" indent="-342900">
              <a:lnSpc>
                <a:spcPct val="107000"/>
              </a:lnSpc>
              <a:spcBef>
                <a:spcPts val="0"/>
              </a:spcBef>
              <a:spcAft>
                <a:spcPts val="0"/>
              </a:spcAft>
              <a:buFont typeface="+mj-lt"/>
              <a:buAutoNum type="arabicParenR"/>
            </a:pPr>
            <a:r>
              <a:rPr lang="en-US" sz="1800">
                <a:effectLst/>
                <a:latin typeface="Calibri" panose="020F0502020204030204" pitchFamily="34" charset="0"/>
                <a:ea typeface="Calibri" panose="020F0502020204030204" pitchFamily="34" charset="0"/>
                <a:cs typeface="Times New Roman" panose="02020603050405020304" pitchFamily="18" charset="0"/>
              </a:rPr>
              <a:t>Results</a:t>
            </a:r>
          </a:p>
          <a:p>
            <a:pPr marL="742950" marR="0" lvl="1" indent="-285750">
              <a:lnSpc>
                <a:spcPct val="107000"/>
              </a:lnSpc>
              <a:spcBef>
                <a:spcPts val="0"/>
              </a:spcBef>
              <a:spcAft>
                <a:spcPts val="0"/>
              </a:spcAft>
              <a:buFont typeface="+mj-lt"/>
              <a:buAutoNum type="alphaLcPeriod"/>
            </a:pPr>
            <a:r>
              <a:rPr lang="en-US" sz="1800" b="1">
                <a:effectLst/>
                <a:latin typeface="Calibri" panose="020F0502020204030204" pitchFamily="34" charset="0"/>
                <a:ea typeface="Calibri" panose="020F0502020204030204" pitchFamily="34" charset="0"/>
                <a:cs typeface="Times New Roman" panose="02020603050405020304" pitchFamily="18" charset="0"/>
              </a:rPr>
              <a:t>Total Variable Costs</a:t>
            </a:r>
            <a:r>
              <a:rPr lang="en-US" sz="1800">
                <a:effectLst/>
                <a:latin typeface="Calibri" panose="020F0502020204030204" pitchFamily="34" charset="0"/>
                <a:ea typeface="Calibri" panose="020F0502020204030204" pitchFamily="34" charset="0"/>
                <a:cs typeface="Times New Roman" panose="02020603050405020304" pitchFamily="18" charset="0"/>
              </a:rPr>
              <a:t> is the cost per acre to establish, grow, and terminate the cover crop</a:t>
            </a:r>
          </a:p>
          <a:p>
            <a:pPr marL="742950" marR="0" lvl="1" indent="-285750">
              <a:lnSpc>
                <a:spcPct val="107000"/>
              </a:lnSpc>
              <a:spcBef>
                <a:spcPts val="0"/>
              </a:spcBef>
              <a:spcAft>
                <a:spcPts val="800"/>
              </a:spcAft>
              <a:buFont typeface="+mj-lt"/>
              <a:buAutoNum type="alphaLcPeriod"/>
            </a:pPr>
            <a:r>
              <a:rPr lang="en-US" sz="1800">
                <a:effectLst/>
                <a:latin typeface="Calibri" panose="020F0502020204030204" pitchFamily="34" charset="0"/>
                <a:ea typeface="Calibri" panose="020F0502020204030204" pitchFamily="34" charset="0"/>
                <a:cs typeface="Times New Roman" panose="02020603050405020304" pitchFamily="18" charset="0"/>
              </a:rPr>
              <a:t>The Ownership Cost section will only calculate if you selected </a:t>
            </a:r>
            <a:r>
              <a:rPr lang="en-US" sz="1800" b="1">
                <a:effectLst/>
                <a:latin typeface="Calibri" panose="020F0502020204030204" pitchFamily="34" charset="0"/>
                <a:ea typeface="Calibri" panose="020F0502020204030204" pitchFamily="34" charset="0"/>
                <a:cs typeface="Times New Roman" panose="02020603050405020304" pitchFamily="18" charset="0"/>
              </a:rPr>
              <a:t>Yes </a:t>
            </a:r>
            <a:r>
              <a:rPr lang="en-US" sz="1800">
                <a:effectLst/>
                <a:latin typeface="Calibri" panose="020F0502020204030204" pitchFamily="34" charset="0"/>
                <a:ea typeface="Calibri" panose="020F0502020204030204" pitchFamily="34" charset="0"/>
                <a:cs typeface="Times New Roman" panose="02020603050405020304" pitchFamily="18" charset="0"/>
              </a:rPr>
              <a:t>in </a:t>
            </a:r>
            <a:r>
              <a:rPr lang="en-US" sz="1800" b="1">
                <a:effectLst/>
                <a:latin typeface="Calibri" panose="020F0502020204030204" pitchFamily="34" charset="0"/>
                <a:ea typeface="Calibri" panose="020F0502020204030204" pitchFamily="34" charset="0"/>
                <a:cs typeface="Times New Roman" panose="02020603050405020304" pitchFamily="18" charset="0"/>
              </a:rPr>
              <a:t>Calculate Machinery Cost?  </a:t>
            </a:r>
            <a:r>
              <a:rPr lang="en-US" sz="1800">
                <a:effectLst/>
                <a:latin typeface="Calibri" panose="020F0502020204030204" pitchFamily="34" charset="0"/>
                <a:ea typeface="Calibri" panose="020F0502020204030204" pitchFamily="34" charset="0"/>
                <a:cs typeface="Times New Roman" panose="02020603050405020304" pitchFamily="18" charset="0"/>
              </a:rPr>
              <a:t>This cost should be added to the Total Variable Cost to estimate the </a:t>
            </a:r>
            <a:r>
              <a:rPr lang="en-US" sz="1800" b="1">
                <a:effectLst/>
                <a:latin typeface="Calibri" panose="020F0502020204030204" pitchFamily="34" charset="0"/>
                <a:ea typeface="Calibri" panose="020F0502020204030204" pitchFamily="34" charset="0"/>
                <a:cs typeface="Times New Roman" panose="02020603050405020304" pitchFamily="18" charset="0"/>
              </a:rPr>
              <a:t>Total Cost</a:t>
            </a:r>
            <a:r>
              <a:rPr lang="en-US" sz="1800">
                <a:effectLst/>
                <a:latin typeface="Calibri" panose="020F0502020204030204" pitchFamily="34" charset="0"/>
                <a:ea typeface="Calibri" panose="020F0502020204030204" pitchFamily="34" charset="0"/>
                <a:cs typeface="Times New Roman" panose="02020603050405020304" pitchFamily="18" charset="0"/>
              </a:rPr>
              <a:t>  per acre to establish, grow, and terminate the cover crop</a:t>
            </a:r>
          </a:p>
          <a:p>
            <a:endParaRPr lang="en-US" sz="1600"/>
          </a:p>
        </xdr:txBody>
      </xdr:sp>
      <xdr:grpSp>
        <xdr:nvGrpSpPr>
          <xdr:cNvPr id="10" name="Group 9"/>
          <xdr:cNvGrpSpPr/>
        </xdr:nvGrpSpPr>
        <xdr:grpSpPr>
          <a:xfrm>
            <a:off x="368753" y="389165"/>
            <a:ext cx="13461959" cy="1898728"/>
            <a:chOff x="368753" y="389165"/>
            <a:chExt cx="13461959" cy="1898728"/>
          </a:xfrm>
        </xdr:grpSpPr>
        <xdr:pic>
          <xdr:nvPicPr>
            <xdr:cNvPr id="3" name="Picture 2">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7904" b="68182"/>
            <a:stretch/>
          </xdr:blipFill>
          <xdr:spPr bwMode="auto">
            <a:xfrm>
              <a:off x="368753" y="389165"/>
              <a:ext cx="11051352" cy="522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xdr:cNvPicPr>
          </xdr:nvPicPr>
          <xdr:blipFill>
            <a:blip xmlns:r="http://schemas.openxmlformats.org/officeDocument/2006/relationships" r:embed="rId2"/>
            <a:stretch>
              <a:fillRect/>
            </a:stretch>
          </xdr:blipFill>
          <xdr:spPr>
            <a:xfrm>
              <a:off x="11593286" y="544286"/>
              <a:ext cx="2237426" cy="1743607"/>
            </a:xfrm>
            <a:prstGeom prst="rect">
              <a:avLst/>
            </a:prstGeom>
          </xdr:spPr>
        </xdr:pic>
      </xdr:grpSp>
    </xdr:grpSp>
    <xdr:clientData/>
  </xdr:twoCellAnchor>
  <xdr:twoCellAnchor>
    <xdr:from>
      <xdr:col>0</xdr:col>
      <xdr:colOff>312964</xdr:colOff>
      <xdr:row>68</xdr:row>
      <xdr:rowOff>40823</xdr:rowOff>
    </xdr:from>
    <xdr:to>
      <xdr:col>23</xdr:col>
      <xdr:colOff>489857</xdr:colOff>
      <xdr:row>73</xdr:row>
      <xdr:rowOff>64885</xdr:rowOff>
    </xdr:to>
    <xdr:grpSp>
      <xdr:nvGrpSpPr>
        <xdr:cNvPr id="9" name="Group 8"/>
        <xdr:cNvGrpSpPr/>
      </xdr:nvGrpSpPr>
      <xdr:grpSpPr>
        <a:xfrm>
          <a:off x="312964" y="12994823"/>
          <a:ext cx="14197693" cy="976562"/>
          <a:chOff x="133350" y="4639667"/>
          <a:chExt cx="8293157" cy="489010"/>
        </a:xfrm>
      </xdr:grpSpPr>
      <xdr:grpSp>
        <xdr:nvGrpSpPr>
          <xdr:cNvPr id="12" name="Group 11"/>
          <xdr:cNvGrpSpPr/>
        </xdr:nvGrpSpPr>
        <xdr:grpSpPr>
          <a:xfrm>
            <a:off x="1765277" y="4639667"/>
            <a:ext cx="6661230" cy="433946"/>
            <a:chOff x="1924584" y="6620866"/>
            <a:chExt cx="8186727" cy="433947"/>
          </a:xfrm>
        </xdr:grpSpPr>
        <xdr:pic>
          <xdr:nvPicPr>
            <xdr:cNvPr id="14" name="Picture 13" descr="ces-footer-black"/>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10"/>
            <a:stretch/>
          </xdr:blipFill>
          <xdr:spPr bwMode="auto">
            <a:xfrm>
              <a:off x="1924584" y="6620866"/>
              <a:ext cx="7064138" cy="35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TextBox 14"/>
            <xdr:cNvSpPr txBox="1"/>
          </xdr:nvSpPr>
          <xdr:spPr>
            <a:xfrm>
              <a:off x="1932290" y="6837253"/>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3"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editAs="oneCell">
    <xdr:from>
      <xdr:col>1</xdr:col>
      <xdr:colOff>28575</xdr:colOff>
      <xdr:row>12</xdr:row>
      <xdr:rowOff>122464</xdr:rowOff>
    </xdr:from>
    <xdr:to>
      <xdr:col>8</xdr:col>
      <xdr:colOff>546159</xdr:colOff>
      <xdr:row>17</xdr:row>
      <xdr:rowOff>27214</xdr:rowOff>
    </xdr:to>
    <xdr:pic>
      <xdr:nvPicPr>
        <xdr:cNvPr id="16" name="Picture 15"/>
        <xdr:cNvPicPr>
          <a:picLocks noChangeAspect="1"/>
        </xdr:cNvPicPr>
      </xdr:nvPicPr>
      <xdr:blipFill>
        <a:blip xmlns:r="http://schemas.openxmlformats.org/officeDocument/2006/relationships" r:embed="rId5"/>
        <a:stretch>
          <a:fillRect/>
        </a:stretch>
      </xdr:blipFill>
      <xdr:spPr>
        <a:xfrm>
          <a:off x="640896" y="2408464"/>
          <a:ext cx="4803834" cy="857250"/>
        </a:xfrm>
        <a:prstGeom prst="rect">
          <a:avLst/>
        </a:prstGeom>
      </xdr:spPr>
    </xdr:pic>
    <xdr:clientData/>
  </xdr:twoCellAnchor>
  <xdr:twoCellAnchor>
    <xdr:from>
      <xdr:col>7</xdr:col>
      <xdr:colOff>372835</xdr:colOff>
      <xdr:row>13</xdr:row>
      <xdr:rowOff>136071</xdr:rowOff>
    </xdr:from>
    <xdr:to>
      <xdr:col>9</xdr:col>
      <xdr:colOff>381000</xdr:colOff>
      <xdr:row>15</xdr:row>
      <xdr:rowOff>119795</xdr:rowOff>
    </xdr:to>
    <xdr:cxnSp macro="">
      <xdr:nvCxnSpPr>
        <xdr:cNvPr id="17" name="Straight Arrow Connector 16"/>
        <xdr:cNvCxnSpPr/>
      </xdr:nvCxnSpPr>
      <xdr:spPr>
        <a:xfrm flipH="1">
          <a:off x="4659085" y="2612571"/>
          <a:ext cx="1232808" cy="364724"/>
        </a:xfrm>
        <a:prstGeom prst="straightConnector1">
          <a:avLst/>
        </a:prstGeom>
        <a:ln w="38100">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OneDrive%20-%20University%20of%20Kentucky\Cover%20Crops\Rough%20Draft%20Budget%20July%2023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uky-my.sharepoint.com/personal/rcel225_uky_edu/Documents/Cover%20Crops/Rough%20Draft%20Budget%20July%2023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Rye"/>
      <sheetName val="Seeding"/>
      <sheetName val="Machinery updated"/>
      <sheetName val="Sheet1"/>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Rye"/>
      <sheetName val="Seeding"/>
      <sheetName val="Machinery updated"/>
    </sheetNames>
    <sheetDataSet>
      <sheetData sheetId="0"/>
      <sheetData sheetId="1"/>
      <sheetData sheetId="2"/>
      <sheetData sheetId="3"/>
      <sheetData sheetId="4">
        <row r="4">
          <cell r="C4">
            <v>0.06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
  <sheetViews>
    <sheetView tabSelected="1" zoomScaleNormal="100" workbookViewId="0"/>
  </sheetViews>
  <sheetFormatPr defaultRowHeight="15" x14ac:dyDescent="0.25"/>
  <cols>
    <col min="1" max="16384" width="9.140625" style="36"/>
  </cols>
  <sheetData>
    <row r="2" spans="1:1" x14ac:dyDescent="0.25">
      <c r="A2" s="35"/>
    </row>
    <row r="3" spans="1:1" x14ac:dyDescent="0.25">
      <c r="A3" s="37"/>
    </row>
    <row r="4" spans="1:1" x14ac:dyDescent="0.25">
      <c r="A4" s="37"/>
    </row>
    <row r="5" spans="1:1" x14ac:dyDescent="0.25">
      <c r="A5" s="37"/>
    </row>
  </sheetData>
  <sheetProtection algorithmName="SHA-512" hashValue="+Zh/w4JbPCJHV9zytOmVcbrHeC/QBR7MeGpaRKwr2WRPHVUNl36kBrIEoSfGMVsHdCLlBZh/tpxuoAvkYaw/Ig==" saltValue="j24M4fgjlvmX6lt9a3dLLA=="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5" x14ac:dyDescent="0.25"/>
  <cols>
    <col min="1" max="16384" width="9.140625" style="36"/>
  </cols>
  <sheetData/>
  <sheetProtection algorithmName="SHA-512" hashValue="iFauZKGDEy3YQ6CZywsQxh9tJZPH+Km3i+Qk3p6xQ9v9hYc08NRKTCQx/UhjbFjif22wl2L0La2B53QCDJKwEQ==" saltValue="lRhEyX8LLzp2sc+m7jF/R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zoomScaleNormal="100" workbookViewId="0">
      <selection activeCell="L18" sqref="L18"/>
    </sheetView>
  </sheetViews>
  <sheetFormatPr defaultRowHeight="15" x14ac:dyDescent="0.25"/>
  <cols>
    <col min="1" max="1" width="3.28515625" customWidth="1"/>
    <col min="2" max="2" width="7.140625" customWidth="1"/>
    <col min="3" max="3" width="48.7109375" customWidth="1"/>
    <col min="4" max="4" width="17" bestFit="1" customWidth="1"/>
    <col min="5" max="5" width="16.5703125" customWidth="1"/>
    <col min="7" max="7" width="13.42578125" customWidth="1"/>
    <col min="8" max="8" width="14.28515625" customWidth="1"/>
    <col min="9" max="9" width="16.42578125" bestFit="1" customWidth="1"/>
    <col min="11" max="11" width="10.7109375" bestFit="1" customWidth="1"/>
    <col min="13" max="13" width="12.42578125" bestFit="1" customWidth="1"/>
  </cols>
  <sheetData>
    <row r="1" spans="1:13" ht="21" customHeight="1" x14ac:dyDescent="0.35">
      <c r="A1" s="44" t="s">
        <v>121</v>
      </c>
      <c r="B1" s="44"/>
      <c r="C1" s="44"/>
      <c r="D1" s="44"/>
      <c r="E1" s="44"/>
      <c r="F1" s="44"/>
      <c r="G1" s="44"/>
      <c r="H1" s="44"/>
      <c r="I1" s="44"/>
    </row>
    <row r="2" spans="1:13" ht="3" customHeight="1" x14ac:dyDescent="0.25">
      <c r="D2" s="45"/>
      <c r="E2" s="45"/>
    </row>
    <row r="3" spans="1:13" ht="21" x14ac:dyDescent="0.35">
      <c r="B3" s="49" t="s">
        <v>108</v>
      </c>
      <c r="C3" s="49"/>
      <c r="D3" s="46"/>
      <c r="E3" s="46"/>
      <c r="G3" s="38"/>
      <c r="H3" s="38"/>
      <c r="L3" s="19"/>
      <c r="M3" s="19"/>
    </row>
    <row r="4" spans="1:13" ht="18.75" x14ac:dyDescent="0.3">
      <c r="B4" s="1"/>
      <c r="C4" s="52" t="s">
        <v>109</v>
      </c>
      <c r="D4" s="73">
        <v>15</v>
      </c>
      <c r="E4" s="74"/>
      <c r="G4" s="38"/>
      <c r="H4" s="53" t="s">
        <v>111</v>
      </c>
      <c r="I4" s="53"/>
      <c r="L4" s="43"/>
      <c r="M4" s="43"/>
    </row>
    <row r="5" spans="1:13" ht="18.75" x14ac:dyDescent="0.3">
      <c r="B5" s="1"/>
      <c r="C5" s="52" t="s">
        <v>119</v>
      </c>
      <c r="D5" s="73">
        <v>3</v>
      </c>
      <c r="E5" s="74"/>
      <c r="G5" s="38"/>
      <c r="H5" s="52"/>
      <c r="I5" s="54" t="s">
        <v>120</v>
      </c>
      <c r="L5" s="19"/>
      <c r="M5" s="19"/>
    </row>
    <row r="6" spans="1:13" ht="18.75" x14ac:dyDescent="0.3">
      <c r="B6" s="1"/>
      <c r="C6" s="52" t="s">
        <v>2</v>
      </c>
      <c r="D6" s="75" t="s">
        <v>29</v>
      </c>
      <c r="E6" s="76"/>
      <c r="G6" s="38"/>
      <c r="H6" s="52" t="s">
        <v>115</v>
      </c>
      <c r="I6" s="55">
        <v>14.25</v>
      </c>
      <c r="L6" s="19"/>
      <c r="M6" s="19"/>
    </row>
    <row r="7" spans="1:13" ht="18.75" x14ac:dyDescent="0.3">
      <c r="B7" s="1"/>
      <c r="C7" s="52" t="s">
        <v>122</v>
      </c>
      <c r="D7" s="75" t="s">
        <v>29</v>
      </c>
      <c r="E7" s="76"/>
      <c r="G7" s="38"/>
      <c r="H7" s="52" t="s">
        <v>112</v>
      </c>
      <c r="I7" s="55">
        <v>72</v>
      </c>
      <c r="L7" s="19"/>
      <c r="M7" s="19"/>
    </row>
    <row r="8" spans="1:13" ht="18.75" x14ac:dyDescent="0.3">
      <c r="B8" s="1"/>
      <c r="C8" s="52" t="s">
        <v>4</v>
      </c>
      <c r="D8" s="77" t="s">
        <v>29</v>
      </c>
      <c r="E8" s="78"/>
      <c r="G8" s="38"/>
      <c r="H8" s="52" t="s">
        <v>113</v>
      </c>
      <c r="I8" s="55">
        <v>82.5</v>
      </c>
      <c r="L8" s="19"/>
      <c r="M8" s="19"/>
    </row>
    <row r="9" spans="1:13" ht="18.75" x14ac:dyDescent="0.3">
      <c r="B9" s="1"/>
      <c r="C9" s="52" t="s">
        <v>6</v>
      </c>
      <c r="D9" s="75" t="s">
        <v>29</v>
      </c>
      <c r="E9" s="76"/>
      <c r="G9" s="38"/>
      <c r="H9" s="52" t="s">
        <v>114</v>
      </c>
      <c r="I9" s="55">
        <v>13</v>
      </c>
      <c r="L9" s="19"/>
      <c r="M9" s="19"/>
    </row>
    <row r="10" spans="1:13" ht="18.75" x14ac:dyDescent="0.3">
      <c r="B10" s="1"/>
      <c r="C10" s="52" t="s">
        <v>123</v>
      </c>
      <c r="D10" s="75">
        <v>1</v>
      </c>
      <c r="E10" s="76"/>
      <c r="G10" s="38"/>
      <c r="H10" s="52" t="s">
        <v>116</v>
      </c>
      <c r="I10" s="55">
        <v>108.5</v>
      </c>
      <c r="L10" s="19"/>
      <c r="M10" s="19"/>
    </row>
    <row r="11" spans="1:13" ht="18.75" x14ac:dyDescent="0.3">
      <c r="B11" s="1"/>
      <c r="C11" s="52" t="s">
        <v>8</v>
      </c>
      <c r="D11" s="75" t="s">
        <v>29</v>
      </c>
      <c r="E11" s="76"/>
      <c r="G11" s="38"/>
      <c r="H11" s="52" t="s">
        <v>117</v>
      </c>
      <c r="I11" s="55">
        <v>59</v>
      </c>
      <c r="L11" s="19"/>
      <c r="M11" s="19"/>
    </row>
    <row r="12" spans="1:13" ht="18.75" x14ac:dyDescent="0.3">
      <c r="B12" s="1"/>
      <c r="C12" s="52" t="s">
        <v>124</v>
      </c>
      <c r="D12" s="75">
        <v>1</v>
      </c>
      <c r="E12" s="76"/>
      <c r="G12" s="38"/>
      <c r="H12" s="38"/>
      <c r="L12" s="19"/>
      <c r="M12" s="19"/>
    </row>
    <row r="13" spans="1:13" ht="4.5" customHeight="1" x14ac:dyDescent="0.25">
      <c r="B13" s="19"/>
      <c r="C13" s="19"/>
      <c r="D13" s="20"/>
      <c r="E13" s="20"/>
      <c r="G13" s="38"/>
      <c r="H13" s="38"/>
      <c r="L13" s="19"/>
      <c r="M13" s="19"/>
    </row>
    <row r="14" spans="1:13" ht="18.75" x14ac:dyDescent="0.3">
      <c r="B14" s="21"/>
      <c r="D14" s="71" t="s">
        <v>118</v>
      </c>
      <c r="E14" s="71" t="s">
        <v>11</v>
      </c>
      <c r="F14" s="71" t="s">
        <v>12</v>
      </c>
      <c r="G14" s="72"/>
      <c r="H14" s="72"/>
      <c r="I14" s="71" t="s">
        <v>13</v>
      </c>
    </row>
    <row r="15" spans="1:13" ht="21" x14ac:dyDescent="0.35">
      <c r="B15" s="50" t="s">
        <v>14</v>
      </c>
      <c r="C15" s="50"/>
      <c r="D15" s="11"/>
      <c r="E15" s="11"/>
      <c r="F15" s="11"/>
      <c r="G15" s="11"/>
      <c r="H15" s="11"/>
      <c r="I15" s="47"/>
    </row>
    <row r="16" spans="1:13" ht="18.75" x14ac:dyDescent="0.3">
      <c r="B16" s="13"/>
      <c r="C16" s="52" t="s">
        <v>15</v>
      </c>
      <c r="D16" s="79">
        <v>1</v>
      </c>
      <c r="E16" s="56" t="s">
        <v>16</v>
      </c>
      <c r="F16" s="79">
        <v>0</v>
      </c>
      <c r="G16" s="57" t="s">
        <v>17</v>
      </c>
      <c r="H16" s="81" t="s">
        <v>18</v>
      </c>
      <c r="I16" s="82">
        <f>IF($H$16='Machinery Cost'!$E$1,'Machinery Cost'!$H$19,F16)</f>
        <v>0</v>
      </c>
    </row>
    <row r="17" spans="2:9" ht="18.75" x14ac:dyDescent="0.3">
      <c r="B17" s="1"/>
      <c r="C17" s="52" t="s">
        <v>19</v>
      </c>
      <c r="D17" s="79">
        <v>1</v>
      </c>
      <c r="E17" s="56" t="s">
        <v>16</v>
      </c>
      <c r="F17" s="79">
        <v>0</v>
      </c>
      <c r="G17" s="58"/>
      <c r="H17" s="81"/>
      <c r="I17" s="82">
        <f>IF($H$16='Machinery Cost'!$E$1,'Machinery Cost'!$H$20,F17)</f>
        <v>0</v>
      </c>
    </row>
    <row r="18" spans="2:9" ht="18.75" x14ac:dyDescent="0.3">
      <c r="B18" s="1"/>
      <c r="C18" s="59" t="s">
        <v>0</v>
      </c>
      <c r="D18" s="79">
        <v>1</v>
      </c>
      <c r="E18" s="56" t="s">
        <v>16</v>
      </c>
      <c r="F18" s="79">
        <v>0</v>
      </c>
      <c r="G18" s="60"/>
      <c r="H18" s="81"/>
      <c r="I18" s="82">
        <f>IF($H$16='Machinery Cost'!$E$1,'Machinery Cost'!$H$18,F18)</f>
        <v>0</v>
      </c>
    </row>
    <row r="19" spans="2:9" ht="21" x14ac:dyDescent="0.35">
      <c r="B19" s="51" t="s">
        <v>20</v>
      </c>
      <c r="C19" s="1"/>
      <c r="D19" s="11"/>
      <c r="E19" s="48"/>
      <c r="F19" s="11"/>
      <c r="G19" s="41"/>
      <c r="H19" s="42"/>
      <c r="I19" s="47"/>
    </row>
    <row r="20" spans="2:9" ht="18.75" x14ac:dyDescent="0.3">
      <c r="B20" s="1"/>
      <c r="C20" s="52" t="s">
        <v>21</v>
      </c>
      <c r="D20" s="79">
        <v>1</v>
      </c>
      <c r="E20" s="61"/>
      <c r="F20" s="79">
        <v>0</v>
      </c>
      <c r="G20" s="62"/>
      <c r="H20" s="63"/>
      <c r="I20" s="82">
        <f>D20*F20</f>
        <v>0</v>
      </c>
    </row>
    <row r="21" spans="2:9" ht="21" x14ac:dyDescent="0.35">
      <c r="B21" s="51" t="s">
        <v>22</v>
      </c>
      <c r="C21" s="1"/>
      <c r="D21" s="11"/>
      <c r="E21" s="48"/>
      <c r="F21" s="11"/>
      <c r="G21" s="39"/>
      <c r="H21" s="40"/>
      <c r="I21" s="47"/>
    </row>
    <row r="22" spans="2:9" ht="18.75" x14ac:dyDescent="0.3">
      <c r="B22" s="1"/>
      <c r="C22" s="52" t="s">
        <v>23</v>
      </c>
      <c r="D22" s="79">
        <v>1</v>
      </c>
      <c r="E22" s="56" t="s">
        <v>24</v>
      </c>
      <c r="F22" s="80">
        <v>14.25</v>
      </c>
      <c r="G22" s="64"/>
      <c r="H22" s="65"/>
      <c r="I22" s="83">
        <f>D22*F22</f>
        <v>14.25</v>
      </c>
    </row>
    <row r="23" spans="2:9" ht="18.75" x14ac:dyDescent="0.3">
      <c r="B23" s="1"/>
      <c r="C23" s="52" t="s">
        <v>25</v>
      </c>
      <c r="D23" s="79">
        <v>1</v>
      </c>
      <c r="E23" s="56" t="s">
        <v>16</v>
      </c>
      <c r="F23" s="80">
        <v>10</v>
      </c>
      <c r="G23" s="66"/>
      <c r="H23" s="67"/>
      <c r="I23" s="83">
        <f>D23*F23</f>
        <v>10</v>
      </c>
    </row>
    <row r="24" spans="2:9" ht="18.75" x14ac:dyDescent="0.3">
      <c r="B24" s="1"/>
      <c r="C24" s="52" t="s">
        <v>26</v>
      </c>
      <c r="D24" s="79">
        <v>1</v>
      </c>
      <c r="E24" s="56" t="s">
        <v>16</v>
      </c>
      <c r="F24" s="80">
        <v>5</v>
      </c>
      <c r="G24" s="68"/>
      <c r="H24" s="69"/>
      <c r="I24" s="83">
        <f>D24*F24</f>
        <v>5</v>
      </c>
    </row>
    <row r="25" spans="2:9" ht="4.5" customHeight="1" x14ac:dyDescent="0.25"/>
    <row r="26" spans="2:9" ht="21" x14ac:dyDescent="0.35">
      <c r="B26" s="70" t="s">
        <v>27</v>
      </c>
      <c r="C26" s="70"/>
    </row>
    <row r="27" spans="2:9" ht="21" x14ac:dyDescent="0.35">
      <c r="C27" s="84">
        <f>SUM(I16:I18,I20,I22:I24)</f>
        <v>29.25</v>
      </c>
    </row>
    <row r="28" spans="2:9" ht="21" x14ac:dyDescent="0.35">
      <c r="B28" s="70" t="str">
        <f>IF($H$16='Machinery Cost'!E1,"Total Ownership Cost","")</f>
        <v>Total Ownership Cost</v>
      </c>
      <c r="C28" s="70"/>
    </row>
    <row r="29" spans="2:9" ht="21" x14ac:dyDescent="0.35">
      <c r="C29" s="85">
        <f>IF($H$16='Machinery Cost'!$E$1,'Machinery Cost'!$H$21,0)</f>
        <v>0</v>
      </c>
    </row>
    <row r="30" spans="2:9" ht="21" x14ac:dyDescent="0.35">
      <c r="B30" s="70" t="s">
        <v>110</v>
      </c>
      <c r="C30" s="70"/>
      <c r="E30" s="23"/>
    </row>
    <row r="31" spans="2:9" ht="21" x14ac:dyDescent="0.35">
      <c r="C31" s="86">
        <f>C29+C27</f>
        <v>29.25</v>
      </c>
      <c r="D31" s="23"/>
    </row>
  </sheetData>
  <sheetProtection algorithmName="SHA-512" hashValue="eWiSVIOdXJg9F0aoX2qZDgKt37uEubEvPEwc6nG/DSp0McnqCBs/ZnrHCvqUDNHuu7N/W6laUYe8s33lC/LeaQ==" saltValue="j2XV9Wr/7f4TzfSUMIs/fQ==" spinCount="100000" sheet="1" objects="1" scenarios="1"/>
  <mergeCells count="25">
    <mergeCell ref="D5:E5"/>
    <mergeCell ref="D6:E6"/>
    <mergeCell ref="D9:E9"/>
    <mergeCell ref="D10:E10"/>
    <mergeCell ref="D8:E8"/>
    <mergeCell ref="D7:E7"/>
    <mergeCell ref="L4:M4"/>
    <mergeCell ref="H4:I4"/>
    <mergeCell ref="A1:I1"/>
    <mergeCell ref="D2:E2"/>
    <mergeCell ref="B3:C3"/>
    <mergeCell ref="D3:E3"/>
    <mergeCell ref="D4:E4"/>
    <mergeCell ref="B15:C15"/>
    <mergeCell ref="G19:H19"/>
    <mergeCell ref="G20:H20"/>
    <mergeCell ref="B30:C30"/>
    <mergeCell ref="B26:C26"/>
    <mergeCell ref="B28:C28"/>
    <mergeCell ref="D11:E11"/>
    <mergeCell ref="G21:H21"/>
    <mergeCell ref="G22:H24"/>
    <mergeCell ref="G16:G18"/>
    <mergeCell ref="H16:H18"/>
    <mergeCell ref="D12:E12"/>
  </mergeCells>
  <conditionalFormatting sqref="C29">
    <cfRule type="expression" dxfId="3" priority="4">
      <formula>"if($H$16='Machinery Cost'!$E$1)"</formula>
    </cfRule>
    <cfRule type="expression" dxfId="2" priority="3">
      <formula>"if+$H$16='Machinery Cost'!$D$1"</formula>
    </cfRule>
    <cfRule type="expression" dxfId="1" priority="2">
      <formula>"if+$H$16='Machinery Cost'!$F$1"</formula>
    </cfRule>
    <cfRule type="expression" dxfId="0" priority="1">
      <formula>"if+$H$16='Machinery Cost'!$E$1"</formula>
    </cfRule>
  </conditionalFormatting>
  <dataValidations count="2">
    <dataValidation allowBlank="1" showInputMessage="1" showErrorMessage="1" promptTitle="Select one" sqref="F12"/>
    <dataValidation type="list" allowBlank="1" showInputMessage="1" showErrorMessage="1" sqref="B12 B13 B7">
      <formula1>#REF!</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'Machinery Cost'!$X$1:$AG$1</xm:f>
          </x14:formula1>
          <xm:sqref>D9:E9</xm:sqref>
        </x14:dataValidation>
        <x14:dataValidation type="list" allowBlank="1" showInputMessage="1" showErrorMessage="1">
          <x14:formula1>
            <xm:f>'Machinery Cost'!$D$1:$F$1</xm:f>
          </x14:formula1>
          <xm:sqref>H16:H18</xm:sqref>
        </x14:dataValidation>
        <x14:dataValidation type="list" allowBlank="1" showInputMessage="1" showErrorMessage="1">
          <x14:formula1>
            <xm:f>'C:\Users\Robert\OneDrive - University of Kentucky\Cover Crops\[Rough Draft Budget July 23b.xlsx]Machinery updated'!#REF!</xm:f>
          </x14:formula1>
          <xm:sqref>D13</xm:sqref>
        </x14:dataValidation>
        <x14:dataValidation type="list" allowBlank="1" showInputMessage="1" showErrorMessage="1" promptTitle="Select one">
          <x14:formula1>
            <xm:f>'C:\Users\Robert\OneDrive - University of Kentucky\Cover Crops\[Rough Draft Budget July 23b.xlsx]Seeding'!#REF!</xm:f>
          </x14:formula1>
          <xm:sqref>I12:I13 F13</xm:sqref>
        </x14:dataValidation>
        <x14:dataValidation type="list" allowBlank="1" showInputMessage="1" showErrorMessage="1">
          <x14:formula1>
            <xm:f>'Machinery Cost'!$D$7:$H$7</xm:f>
          </x14:formula1>
          <xm:sqref>D7:E7</xm:sqref>
        </x14:dataValidation>
        <x14:dataValidation type="list" allowBlank="1" showInputMessage="1" showErrorMessage="1">
          <x14:formula1>
            <xm:f>'Machinery Cost'!$D$6:$I$6</xm:f>
          </x14:formula1>
          <xm:sqref>D11:E11</xm:sqref>
        </x14:dataValidation>
        <x14:dataValidation type="list" allowBlank="1" showInputMessage="1" showErrorMessage="1">
          <x14:formula1>
            <xm:f>'Machinery Cost'!$D$2:$G$2</xm:f>
          </x14:formula1>
          <xm:sqref>D6:E6</xm:sqref>
        </x14:dataValidation>
        <x14:dataValidation type="list" allowBlank="1" showInputMessage="1" showErrorMessage="1">
          <x14:formula1>
            <xm:f>'Machinery Cost'!$D$3:$H$3</xm:f>
          </x14:formula1>
          <xm:sqref>D8:E8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1"/>
  <sheetViews>
    <sheetView zoomScale="60" zoomScaleNormal="60" workbookViewId="0">
      <selection activeCell="L64" sqref="L64"/>
    </sheetView>
  </sheetViews>
  <sheetFormatPr defaultRowHeight="15" x14ac:dyDescent="0.25"/>
  <cols>
    <col min="2" max="2" width="15.140625" bestFit="1" customWidth="1"/>
    <col min="3" max="3" width="22.42578125" bestFit="1" customWidth="1"/>
    <col min="4" max="4" width="19.5703125" customWidth="1"/>
    <col min="5" max="5" width="24.140625" bestFit="1" customWidth="1"/>
    <col min="6" max="6" width="24.28515625" bestFit="1" customWidth="1"/>
    <col min="7" max="7" width="27" bestFit="1" customWidth="1"/>
    <col min="8" max="8" width="25.140625" bestFit="1" customWidth="1"/>
    <col min="9" max="9" width="22.7109375" bestFit="1" customWidth="1"/>
    <col min="10" max="10" width="24.7109375" bestFit="1" customWidth="1"/>
    <col min="11" max="11" width="20.140625" bestFit="1" customWidth="1"/>
    <col min="13" max="13" width="15.140625" bestFit="1" customWidth="1"/>
    <col min="16" max="16" width="18.5703125" bestFit="1" customWidth="1"/>
    <col min="17" max="20" width="14.85546875" bestFit="1" customWidth="1"/>
    <col min="21" max="22" width="14.42578125" bestFit="1" customWidth="1"/>
  </cols>
  <sheetData>
    <row r="1" spans="3:33" x14ac:dyDescent="0.25">
      <c r="C1" s="1" t="s">
        <v>28</v>
      </c>
      <c r="D1" s="1" t="s">
        <v>29</v>
      </c>
      <c r="E1" s="1" t="s">
        <v>18</v>
      </c>
      <c r="F1" s="1" t="s">
        <v>30</v>
      </c>
      <c r="W1" s="1" t="s">
        <v>31</v>
      </c>
      <c r="X1" s="2" t="s">
        <v>29</v>
      </c>
      <c r="Y1" s="1" t="s">
        <v>32</v>
      </c>
      <c r="Z1" s="1" t="s">
        <v>33</v>
      </c>
      <c r="AA1" s="1" t="s">
        <v>7</v>
      </c>
      <c r="AB1" s="1" t="s">
        <v>34</v>
      </c>
      <c r="AC1" s="1" t="s">
        <v>35</v>
      </c>
      <c r="AD1" s="1" t="s">
        <v>36</v>
      </c>
      <c r="AE1" s="1" t="s">
        <v>37</v>
      </c>
      <c r="AF1" s="1" t="s">
        <v>38</v>
      </c>
      <c r="AG1" s="3" t="s">
        <v>39</v>
      </c>
    </row>
    <row r="2" spans="3:33" x14ac:dyDescent="0.25">
      <c r="C2" s="2" t="s">
        <v>40</v>
      </c>
      <c r="D2" s="2" t="s">
        <v>29</v>
      </c>
      <c r="E2" s="2" t="s">
        <v>41</v>
      </c>
      <c r="F2" s="2" t="s">
        <v>3</v>
      </c>
      <c r="G2" s="2" t="s">
        <v>42</v>
      </c>
      <c r="L2" s="1" t="s">
        <v>43</v>
      </c>
      <c r="M2" s="12">
        <f>'Cover Crop Cost'!$D$5</f>
        <v>3</v>
      </c>
      <c r="P2" s="1" t="s">
        <v>44</v>
      </c>
      <c r="Q2" s="10" t="s">
        <v>45</v>
      </c>
      <c r="R2" s="10" t="s">
        <v>46</v>
      </c>
      <c r="S2" s="10" t="s">
        <v>47</v>
      </c>
      <c r="T2" s="10" t="s">
        <v>48</v>
      </c>
      <c r="U2" s="10" t="s">
        <v>49</v>
      </c>
    </row>
    <row r="3" spans="3:33" x14ac:dyDescent="0.25">
      <c r="C3" s="2" t="s">
        <v>50</v>
      </c>
      <c r="D3" s="2" t="s">
        <v>29</v>
      </c>
      <c r="E3" s="2" t="s">
        <v>51</v>
      </c>
      <c r="F3" s="2" t="s">
        <v>9</v>
      </c>
      <c r="G3" s="2" t="s">
        <v>52</v>
      </c>
      <c r="H3" s="2" t="s">
        <v>5</v>
      </c>
      <c r="L3" s="1" t="s">
        <v>0</v>
      </c>
      <c r="M3" s="12">
        <f>'Cover Crop Cost'!$D$4</f>
        <v>15</v>
      </c>
      <c r="P3" s="1" t="s">
        <v>53</v>
      </c>
      <c r="Q3" s="3">
        <v>103000</v>
      </c>
      <c r="R3" s="12">
        <v>131000</v>
      </c>
      <c r="S3" s="12">
        <v>153000</v>
      </c>
      <c r="T3" s="12">
        <v>173000</v>
      </c>
      <c r="U3" s="15">
        <v>210000</v>
      </c>
    </row>
    <row r="4" spans="3:33" x14ac:dyDescent="0.25">
      <c r="C4" s="1" t="s">
        <v>31</v>
      </c>
      <c r="D4" s="2" t="s">
        <v>29</v>
      </c>
      <c r="E4" s="1" t="s">
        <v>32</v>
      </c>
      <c r="F4" s="1" t="s">
        <v>33</v>
      </c>
      <c r="G4" s="1" t="s">
        <v>7</v>
      </c>
      <c r="H4" s="1" t="s">
        <v>34</v>
      </c>
      <c r="L4" s="1" t="s">
        <v>54</v>
      </c>
      <c r="M4" s="13">
        <v>0.06</v>
      </c>
      <c r="P4" s="1" t="s">
        <v>55</v>
      </c>
      <c r="Q4" s="3">
        <v>0.4</v>
      </c>
      <c r="R4" s="1">
        <v>0.4</v>
      </c>
      <c r="S4" s="1">
        <v>0.4</v>
      </c>
      <c r="T4" s="1">
        <v>0.4</v>
      </c>
      <c r="U4" s="3">
        <v>0.35</v>
      </c>
    </row>
    <row r="5" spans="3:33" x14ac:dyDescent="0.25">
      <c r="C5" s="1" t="s">
        <v>56</v>
      </c>
      <c r="D5" s="2" t="s">
        <v>29</v>
      </c>
      <c r="E5" s="1" t="s">
        <v>35</v>
      </c>
      <c r="F5" s="1" t="s">
        <v>36</v>
      </c>
      <c r="G5" s="1" t="s">
        <v>37</v>
      </c>
      <c r="H5" s="1" t="s">
        <v>38</v>
      </c>
      <c r="I5" s="3" t="s">
        <v>39</v>
      </c>
      <c r="P5" s="1" t="s">
        <v>57</v>
      </c>
      <c r="Q5" s="3">
        <v>0.15</v>
      </c>
      <c r="R5" s="1">
        <v>0.15</v>
      </c>
      <c r="S5" s="1">
        <v>0.15</v>
      </c>
      <c r="T5" s="1">
        <v>0.15</v>
      </c>
      <c r="U5" s="1">
        <v>0.15</v>
      </c>
    </row>
    <row r="6" spans="3:33" x14ac:dyDescent="0.25">
      <c r="C6" s="3" t="s">
        <v>58</v>
      </c>
      <c r="D6" s="2" t="s">
        <v>29</v>
      </c>
      <c r="E6" s="3" t="s">
        <v>51</v>
      </c>
      <c r="F6" s="3" t="s">
        <v>9</v>
      </c>
      <c r="G6" s="3" t="s">
        <v>52</v>
      </c>
      <c r="H6" s="3" t="s">
        <v>59</v>
      </c>
      <c r="I6" s="3" t="s">
        <v>60</v>
      </c>
      <c r="P6" s="1" t="s">
        <v>61</v>
      </c>
      <c r="Q6" s="3">
        <v>8</v>
      </c>
      <c r="R6" s="1">
        <v>8</v>
      </c>
      <c r="S6" s="1">
        <v>8</v>
      </c>
      <c r="T6" s="1">
        <v>8</v>
      </c>
      <c r="U6" s="1">
        <v>8</v>
      </c>
    </row>
    <row r="7" spans="3:33" x14ac:dyDescent="0.25">
      <c r="C7" s="3" t="s">
        <v>62</v>
      </c>
      <c r="D7" s="1" t="s">
        <v>29</v>
      </c>
      <c r="E7" s="3" t="s">
        <v>10</v>
      </c>
      <c r="F7" s="3" t="s">
        <v>63</v>
      </c>
      <c r="G7" s="3" t="s">
        <v>64</v>
      </c>
      <c r="H7" s="3" t="s">
        <v>65</v>
      </c>
      <c r="I7" s="4"/>
      <c r="P7" s="1" t="s">
        <v>66</v>
      </c>
      <c r="Q7" s="3">
        <v>600</v>
      </c>
      <c r="R7" s="1">
        <v>600</v>
      </c>
      <c r="S7" s="1">
        <v>600</v>
      </c>
      <c r="T7" s="1">
        <v>600</v>
      </c>
      <c r="U7" s="1">
        <v>600</v>
      </c>
    </row>
    <row r="8" spans="3:33" x14ac:dyDescent="0.25">
      <c r="P8" s="6"/>
      <c r="Q8" s="6"/>
      <c r="R8" s="6"/>
      <c r="S8" s="6"/>
      <c r="T8" s="6"/>
      <c r="U8" s="6"/>
    </row>
    <row r="9" spans="3:33" x14ac:dyDescent="0.25">
      <c r="C9" s="34"/>
      <c r="D9" s="34"/>
      <c r="E9" s="34"/>
      <c r="F9" s="34"/>
      <c r="G9" s="34"/>
      <c r="H9" s="34"/>
      <c r="P9" s="1" t="s">
        <v>67</v>
      </c>
      <c r="Q9" s="3">
        <v>6.6913999999999998</v>
      </c>
      <c r="R9" s="1">
        <v>7.72</v>
      </c>
      <c r="S9" s="1">
        <v>8.75</v>
      </c>
      <c r="T9" s="1">
        <v>9.7799999999999994</v>
      </c>
      <c r="U9" s="3">
        <v>11.581300000000001</v>
      </c>
    </row>
    <row r="10" spans="3:33" x14ac:dyDescent="0.25">
      <c r="C10" s="34"/>
      <c r="D10" s="34"/>
      <c r="E10" s="34"/>
      <c r="F10" s="34"/>
      <c r="G10" s="34"/>
      <c r="H10" s="34"/>
      <c r="P10" s="6"/>
      <c r="Q10" s="6"/>
      <c r="R10" s="6"/>
      <c r="S10" s="6"/>
      <c r="T10" s="6"/>
      <c r="U10" s="6"/>
    </row>
    <row r="11" spans="3:33" x14ac:dyDescent="0.25">
      <c r="C11" s="34"/>
      <c r="D11" s="34"/>
      <c r="E11" s="34"/>
      <c r="F11" s="34"/>
      <c r="G11" s="34"/>
      <c r="H11" s="34"/>
      <c r="P11" s="1" t="s">
        <v>68</v>
      </c>
      <c r="Q11" s="12">
        <f>(Q3-(Q3*Q4))/Q6</f>
        <v>7725</v>
      </c>
      <c r="R11" s="12">
        <f>(R3-(R3*R4))/R6</f>
        <v>9825</v>
      </c>
      <c r="S11" s="12">
        <f>(S3-(S3*S4))/S6</f>
        <v>11475</v>
      </c>
      <c r="T11" s="12">
        <f>(T3-(T3*T4))/T6</f>
        <v>12975</v>
      </c>
      <c r="U11" s="12">
        <f>(U3-(U3*U4))/U6</f>
        <v>17062.5</v>
      </c>
    </row>
    <row r="12" spans="3:33" x14ac:dyDescent="0.25">
      <c r="C12" s="34"/>
      <c r="D12" s="34"/>
      <c r="E12" s="34"/>
      <c r="F12" s="34"/>
      <c r="G12" s="34"/>
      <c r="H12" s="34"/>
      <c r="P12" s="1" t="s">
        <v>69</v>
      </c>
      <c r="Q12" s="12">
        <f>((Q3+(Q3*Q4))/2)*$M$4</f>
        <v>4326</v>
      </c>
      <c r="R12" s="12">
        <f>((R3+(R3*R4))/2)*$M$4</f>
        <v>5502</v>
      </c>
      <c r="S12" s="12">
        <f>((S3+(S3*S4))/2)*$M$4</f>
        <v>6426</v>
      </c>
      <c r="T12" s="12">
        <f>((T3+(T3*T4))/2)*$M$4</f>
        <v>7266</v>
      </c>
      <c r="U12" s="12">
        <f>((U3+(U3*U4))/2)*$M$4</f>
        <v>8505</v>
      </c>
    </row>
    <row r="13" spans="3:33" x14ac:dyDescent="0.25">
      <c r="C13" s="34"/>
      <c r="D13" s="34"/>
      <c r="E13" s="34"/>
      <c r="F13" s="34"/>
      <c r="G13" s="34"/>
      <c r="H13" s="34"/>
    </row>
    <row r="14" spans="3:33" x14ac:dyDescent="0.25">
      <c r="C14" s="34"/>
      <c r="D14" s="34"/>
      <c r="E14" s="34"/>
      <c r="F14" s="34"/>
      <c r="G14" s="34"/>
      <c r="H14" s="34"/>
      <c r="P14" s="1" t="s">
        <v>58</v>
      </c>
      <c r="Q14" s="10" t="s">
        <v>51</v>
      </c>
      <c r="R14" s="10" t="s">
        <v>9</v>
      </c>
      <c r="S14" s="10" t="s">
        <v>52</v>
      </c>
      <c r="T14" s="10" t="s">
        <v>59</v>
      </c>
    </row>
    <row r="15" spans="3:33" x14ac:dyDescent="0.25">
      <c r="C15" s="34"/>
      <c r="D15" s="34"/>
      <c r="E15" s="34"/>
      <c r="F15" s="34"/>
      <c r="G15" s="34"/>
      <c r="H15" s="34"/>
      <c r="P15" s="1" t="s">
        <v>53</v>
      </c>
      <c r="Q15" s="1">
        <v>6910</v>
      </c>
      <c r="R15" s="1">
        <v>17000</v>
      </c>
      <c r="S15" s="1">
        <v>19100</v>
      </c>
      <c r="T15" s="1">
        <v>21300</v>
      </c>
    </row>
    <row r="16" spans="3:33" x14ac:dyDescent="0.25">
      <c r="P16" s="1" t="s">
        <v>55</v>
      </c>
      <c r="Q16" s="13">
        <v>0.25</v>
      </c>
      <c r="R16" s="13">
        <v>0.25</v>
      </c>
      <c r="S16" s="13">
        <v>0.25</v>
      </c>
      <c r="T16" s="13">
        <v>0.25</v>
      </c>
    </row>
    <row r="17" spans="2:21" x14ac:dyDescent="0.25">
      <c r="B17" s="1"/>
      <c r="C17" s="1" t="s">
        <v>70</v>
      </c>
      <c r="D17" s="1" t="s">
        <v>71</v>
      </c>
      <c r="E17" s="1" t="s">
        <v>72</v>
      </c>
      <c r="F17" s="1" t="s">
        <v>73</v>
      </c>
      <c r="G17" s="1" t="s">
        <v>74</v>
      </c>
      <c r="H17" s="3" t="s">
        <v>75</v>
      </c>
      <c r="P17" s="1" t="s">
        <v>57</v>
      </c>
      <c r="Q17" s="13">
        <v>0.85</v>
      </c>
      <c r="R17" s="13">
        <v>0.85</v>
      </c>
      <c r="S17" s="13">
        <v>0.85</v>
      </c>
      <c r="T17" s="13">
        <v>0.85</v>
      </c>
    </row>
    <row r="18" spans="2:21" x14ac:dyDescent="0.25">
      <c r="B18" s="3" t="s">
        <v>76</v>
      </c>
      <c r="C18" s="12">
        <f>J64</f>
        <v>0</v>
      </c>
      <c r="D18" s="12">
        <f>IF('Cover Crop Cost'!$D$7='Machinery Cost'!$G$7,'Machinery Cost'!J72,0)</f>
        <v>0</v>
      </c>
      <c r="E18" s="12">
        <f>IF('Cover Crop Cost'!$D$7='Machinery Cost'!$E$7,'Machinery Cost'!J80,IF('Cover Crop Cost'!$D$7='Machinery Cost'!$G$7,'Machinery Cost'!J80,IF('Cover Crop Cost'!$D$7='Machinery Cost'!$H$7,'Machinery Cost'!J80,0)))</f>
        <v>0</v>
      </c>
      <c r="F18" s="12">
        <f>IF('Cover Crop Cost'!$D$7='Machinery Cost'!$F$7,'Machinery Cost'!J88,0)</f>
        <v>0</v>
      </c>
      <c r="G18" s="12">
        <f>IF('Cover Crop Cost'!$D$7='Machinery Cost'!$E$7,'Machinery Cost'!J96,0)</f>
        <v>0</v>
      </c>
      <c r="H18" s="33">
        <f>SUM(C18:G18)</f>
        <v>0</v>
      </c>
      <c r="P18" s="1" t="s">
        <v>61</v>
      </c>
      <c r="Q18" s="1">
        <v>12</v>
      </c>
      <c r="R18" s="1">
        <v>12</v>
      </c>
      <c r="S18" s="1">
        <v>12</v>
      </c>
      <c r="T18" s="1">
        <v>12</v>
      </c>
    </row>
    <row r="19" spans="2:21" x14ac:dyDescent="0.25">
      <c r="B19" s="3" t="s">
        <v>1</v>
      </c>
      <c r="C19" s="12">
        <f t="shared" ref="C19:C23" si="0">J65</f>
        <v>0</v>
      </c>
      <c r="D19" s="12">
        <f>IF('Cover Crop Cost'!$D$7='Machinery Cost'!$G$7,'Machinery Cost'!J73,0)</f>
        <v>0</v>
      </c>
      <c r="E19" s="12">
        <f>IF('Cover Crop Cost'!$D$7='Machinery Cost'!$E$7,'Machinery Cost'!J81,IF('Cover Crop Cost'!$D$7='Machinery Cost'!$G$7,'Machinery Cost'!J81,IF('Cover Crop Cost'!$D$7='Machinery Cost'!$H$7,'Machinery Cost'!J81,0)))</f>
        <v>0</v>
      </c>
      <c r="F19" s="12">
        <f>IF('Cover Crop Cost'!$D$7='Machinery Cost'!$F$7,'Machinery Cost'!J89,0)</f>
        <v>0</v>
      </c>
      <c r="G19" s="12">
        <f>IF('Cover Crop Cost'!$D$7='Machinery Cost'!$E$7,'Machinery Cost'!J97,0)</f>
        <v>0</v>
      </c>
      <c r="H19" s="33">
        <f t="shared" ref="H19:H23" si="1">SUM(C19:G19)</f>
        <v>0</v>
      </c>
      <c r="P19" s="1" t="s">
        <v>66</v>
      </c>
      <c r="Q19" s="1">
        <v>300</v>
      </c>
      <c r="R19" s="1">
        <v>300</v>
      </c>
      <c r="S19" s="1">
        <v>300</v>
      </c>
      <c r="T19" s="1">
        <v>300</v>
      </c>
    </row>
    <row r="20" spans="2:21" x14ac:dyDescent="0.25">
      <c r="B20" s="3" t="s">
        <v>57</v>
      </c>
      <c r="C20" s="12">
        <f t="shared" si="0"/>
        <v>0</v>
      </c>
      <c r="D20" s="12">
        <f>IF('Cover Crop Cost'!$D$7='Machinery Cost'!$G$7,'Machinery Cost'!J74,0)</f>
        <v>0</v>
      </c>
      <c r="E20" s="12">
        <f>IF('Cover Crop Cost'!$D$7='Machinery Cost'!$E$7,'Machinery Cost'!J82,IF('Cover Crop Cost'!$D$7='Machinery Cost'!$G$7,'Machinery Cost'!J82,IF('Cover Crop Cost'!$D$7='Machinery Cost'!$H$7,'Machinery Cost'!J82,0)))</f>
        <v>0</v>
      </c>
      <c r="F20" s="12">
        <f>IF('Cover Crop Cost'!$D$7='Machinery Cost'!$F$7,'Machinery Cost'!J90,0)</f>
        <v>0</v>
      </c>
      <c r="G20" s="12">
        <f>IF('Cover Crop Cost'!$D$7='Machinery Cost'!$E$7,'Machinery Cost'!J98,0)</f>
        <v>0</v>
      </c>
      <c r="H20" s="33">
        <f t="shared" si="1"/>
        <v>0</v>
      </c>
      <c r="P20" s="6"/>
      <c r="Q20" s="6"/>
      <c r="R20" s="6"/>
      <c r="S20" s="6"/>
      <c r="T20" s="6"/>
    </row>
    <row r="21" spans="2:21" x14ac:dyDescent="0.25">
      <c r="B21" s="3" t="s">
        <v>77</v>
      </c>
      <c r="C21" s="12">
        <f t="shared" si="0"/>
        <v>0</v>
      </c>
      <c r="D21" s="12">
        <f>IF('Cover Crop Cost'!$D$7='Machinery Cost'!$G$7,'Machinery Cost'!J75,0)</f>
        <v>0</v>
      </c>
      <c r="E21" s="12">
        <f>IF('Cover Crop Cost'!$D$7='Machinery Cost'!$E$7,'Machinery Cost'!J83,IF('Cover Crop Cost'!$D$7='Machinery Cost'!$G$7,'Machinery Cost'!J83,IF('Cover Crop Cost'!$D$7='Machinery Cost'!$H$7,'Machinery Cost'!J83,0)))</f>
        <v>0</v>
      </c>
      <c r="F21" s="12">
        <f>IF('Cover Crop Cost'!$D$7='Machinery Cost'!$F$7,'Machinery Cost'!J91,0)</f>
        <v>0</v>
      </c>
      <c r="G21" s="12">
        <f>IF('Cover Crop Cost'!$D$7='Machinery Cost'!$E$7,'Machinery Cost'!J99,0)</f>
        <v>0</v>
      </c>
      <c r="H21" s="33">
        <f t="shared" si="1"/>
        <v>0</v>
      </c>
      <c r="P21" s="1" t="s">
        <v>78</v>
      </c>
      <c r="Q21" s="1">
        <f>1/0.124</f>
        <v>8.064516129032258</v>
      </c>
      <c r="R21" s="1">
        <f>1/0.074</f>
        <v>13.513513513513514</v>
      </c>
      <c r="S21" s="1">
        <f>1/0.049</f>
        <v>20.408163265306122</v>
      </c>
      <c r="T21" s="1">
        <f>1/0.039</f>
        <v>25.641025641025642</v>
      </c>
    </row>
    <row r="22" spans="2:21" x14ac:dyDescent="0.25">
      <c r="B22" s="5"/>
      <c r="C22" s="31"/>
      <c r="D22" s="31"/>
      <c r="E22" s="31"/>
      <c r="F22" s="31"/>
      <c r="G22" s="31"/>
      <c r="H22" s="31"/>
      <c r="P22" s="6"/>
      <c r="Q22" s="6"/>
      <c r="R22" s="6"/>
      <c r="S22" s="6"/>
      <c r="T22" s="6"/>
    </row>
    <row r="23" spans="2:21" x14ac:dyDescent="0.25">
      <c r="B23" s="1" t="s">
        <v>79</v>
      </c>
      <c r="C23" s="12">
        <f t="shared" si="0"/>
        <v>0</v>
      </c>
      <c r="D23" s="12">
        <f>IF('Cover Crop Cost'!$D$7='Machinery Cost'!$G$7,'Machinery Cost'!J77,0)</f>
        <v>0</v>
      </c>
      <c r="E23" s="12">
        <f>IF('Cover Crop Cost'!$D$7='Machinery Cost'!$E$7,'Machinery Cost'!J85,IF('Cover Crop Cost'!$D$7='Machinery Cost'!$G$7,'Machinery Cost'!J85,IF('Cover Crop Cost'!$D$7='Machinery Cost'!$H$7,'Machinery Cost'!J85,0)))</f>
        <v>0</v>
      </c>
      <c r="F23" s="12">
        <f>IF('Cover Crop Cost'!$D$7='Machinery Cost'!$F$7,'Machinery Cost'!J93,0)</f>
        <v>0</v>
      </c>
      <c r="G23" s="12">
        <f>IF('Cover Crop Cost'!$D$7='Machinery Cost'!$E$7,'Machinery Cost'!J101,0)</f>
        <v>0</v>
      </c>
      <c r="H23" s="33">
        <f t="shared" si="1"/>
        <v>0</v>
      </c>
      <c r="P23" s="1" t="s">
        <v>68</v>
      </c>
      <c r="Q23" s="12">
        <f>(Q15+(Q15*Q16))/Q18</f>
        <v>719.79166666666663</v>
      </c>
      <c r="R23" s="12">
        <f t="shared" ref="R23:T23" si="2">(R15+(R15*R16))/R18</f>
        <v>1770.8333333333333</v>
      </c>
      <c r="S23" s="12">
        <f t="shared" si="2"/>
        <v>1989.5833333333333</v>
      </c>
      <c r="T23" s="12">
        <f t="shared" si="2"/>
        <v>2218.75</v>
      </c>
      <c r="U23" s="14"/>
    </row>
    <row r="24" spans="2:21" x14ac:dyDescent="0.25">
      <c r="H24" s="32"/>
      <c r="P24" s="1" t="s">
        <v>69</v>
      </c>
      <c r="Q24" s="12">
        <f>((Q15+(Q15*Q16))/2)*$M$4</f>
        <v>259.125</v>
      </c>
      <c r="R24" s="12">
        <f>((R15+(R15*R16))/2)*$M$4</f>
        <v>637.5</v>
      </c>
      <c r="S24" s="12">
        <f>((S15+(S15*S16))/2)*$M$4</f>
        <v>716.25</v>
      </c>
      <c r="T24" s="12">
        <f>((T15+(T15*T16))/2)*$M$4</f>
        <v>798.75</v>
      </c>
      <c r="U24" s="14"/>
    </row>
    <row r="26" spans="2:21" x14ac:dyDescent="0.25">
      <c r="P26" s="1" t="s">
        <v>80</v>
      </c>
      <c r="Q26" s="10" t="s">
        <v>9</v>
      </c>
      <c r="R26" s="10" t="s">
        <v>52</v>
      </c>
      <c r="S26" s="10" t="s">
        <v>81</v>
      </c>
      <c r="T26" s="10" t="s">
        <v>82</v>
      </c>
    </row>
    <row r="27" spans="2:21" x14ac:dyDescent="0.25">
      <c r="P27" s="1" t="s">
        <v>53</v>
      </c>
      <c r="Q27" s="12">
        <v>7700</v>
      </c>
      <c r="R27" s="12">
        <v>16800</v>
      </c>
      <c r="S27" s="12">
        <v>17500</v>
      </c>
      <c r="T27" s="12">
        <v>11200</v>
      </c>
    </row>
    <row r="28" spans="2:21" x14ac:dyDescent="0.25">
      <c r="P28" s="1" t="s">
        <v>55</v>
      </c>
      <c r="Q28" s="13">
        <v>0.4</v>
      </c>
      <c r="R28" s="13">
        <v>0.4</v>
      </c>
      <c r="S28" s="13">
        <v>0.4</v>
      </c>
      <c r="T28" s="13">
        <v>0.4</v>
      </c>
    </row>
    <row r="29" spans="2:21" x14ac:dyDescent="0.25">
      <c r="P29" s="1" t="s">
        <v>57</v>
      </c>
      <c r="Q29" s="13">
        <v>0.75</v>
      </c>
      <c r="R29" s="13">
        <v>0.75</v>
      </c>
      <c r="S29" s="13">
        <v>0.75</v>
      </c>
      <c r="T29" s="13">
        <v>0.75</v>
      </c>
    </row>
    <row r="30" spans="2:21" x14ac:dyDescent="0.25">
      <c r="P30" s="1" t="s">
        <v>61</v>
      </c>
      <c r="Q30" s="1">
        <v>8</v>
      </c>
      <c r="R30" s="1">
        <v>8</v>
      </c>
      <c r="S30" s="1">
        <v>8</v>
      </c>
      <c r="T30" s="1">
        <v>8</v>
      </c>
    </row>
    <row r="31" spans="2:21" x14ac:dyDescent="0.25">
      <c r="P31" s="1" t="s">
        <v>66</v>
      </c>
      <c r="Q31" s="1">
        <v>200</v>
      </c>
      <c r="R31" s="1">
        <v>200</v>
      </c>
      <c r="S31" s="1">
        <v>200</v>
      </c>
      <c r="T31" s="1">
        <v>200</v>
      </c>
    </row>
    <row r="32" spans="2:21" x14ac:dyDescent="0.25">
      <c r="P32" s="6"/>
      <c r="Q32" s="6"/>
      <c r="R32" s="6"/>
      <c r="S32" s="6"/>
      <c r="T32" s="6"/>
    </row>
    <row r="33" spans="1:20" x14ac:dyDescent="0.25">
      <c r="A33" t="s">
        <v>83</v>
      </c>
      <c r="B33">
        <f>'Cover Crop Cost'!$D$12</f>
        <v>1</v>
      </c>
      <c r="C33" s="1" t="s">
        <v>84</v>
      </c>
      <c r="D33" s="3" t="s">
        <v>51</v>
      </c>
      <c r="E33" s="3" t="s">
        <v>9</v>
      </c>
      <c r="F33" s="3" t="s">
        <v>52</v>
      </c>
      <c r="G33" s="3" t="s">
        <v>59</v>
      </c>
      <c r="H33" s="3" t="s">
        <v>60</v>
      </c>
      <c r="P33" s="1" t="s">
        <v>78</v>
      </c>
      <c r="Q33" s="1">
        <f>1/0.084</f>
        <v>11.904761904761903</v>
      </c>
      <c r="R33" s="1">
        <f>1/0.056</f>
        <v>17.857142857142858</v>
      </c>
      <c r="S33" s="1">
        <f>1/0.042</f>
        <v>23.809523809523807</v>
      </c>
      <c r="T33" s="1">
        <f>1/0.033</f>
        <v>30.303030303030301</v>
      </c>
    </row>
    <row r="34" spans="1:20" x14ac:dyDescent="0.25">
      <c r="C34" s="3" t="s">
        <v>76</v>
      </c>
      <c r="D34" s="1">
        <f>($M$3/Q21)*$B$33</f>
        <v>1.86</v>
      </c>
      <c r="E34" s="1">
        <f t="shared" ref="E34:G34" si="3">($M$3/R21)*$B$33</f>
        <v>1.1099999999999999</v>
      </c>
      <c r="F34" s="22">
        <f t="shared" si="3"/>
        <v>0.73499999999999999</v>
      </c>
      <c r="G34" s="22">
        <f t="shared" si="3"/>
        <v>0.58499999999999996</v>
      </c>
      <c r="H34" s="1">
        <v>0</v>
      </c>
      <c r="P34" s="6"/>
      <c r="Q34" s="6"/>
      <c r="R34" s="6"/>
      <c r="S34" s="6"/>
      <c r="T34" s="6"/>
    </row>
    <row r="35" spans="1:20" x14ac:dyDescent="0.25">
      <c r="C35" s="3" t="s">
        <v>1</v>
      </c>
      <c r="D35" s="22">
        <f>(($M$2*Q9)/Q21)*$B$33</f>
        <v>2.4892007999999999</v>
      </c>
      <c r="E35" s="22">
        <f t="shared" ref="E35:F35" si="4">(($M$2*R9)/R21)*$B$33</f>
        <v>1.71384</v>
      </c>
      <c r="F35" s="22">
        <f t="shared" si="4"/>
        <v>1.2862500000000001</v>
      </c>
      <c r="G35" s="22">
        <f>(($M$2*U9)/T21)*$B$33</f>
        <v>1.3550121000000002</v>
      </c>
      <c r="H35" s="1">
        <v>0</v>
      </c>
      <c r="P35" s="1" t="s">
        <v>68</v>
      </c>
      <c r="Q35" s="12">
        <f>(Q27-(Q27*Q28))/Q30</f>
        <v>577.5</v>
      </c>
      <c r="R35" s="12">
        <f>(R27-(R27*R28))/R30</f>
        <v>1260</v>
      </c>
      <c r="S35" s="12">
        <f>(S27-(S27*S28))/S30</f>
        <v>1312.5</v>
      </c>
      <c r="T35" s="12">
        <f>(T27-(T27*T28))/T30</f>
        <v>840</v>
      </c>
    </row>
    <row r="36" spans="1:20" x14ac:dyDescent="0.25">
      <c r="C36" s="3" t="s">
        <v>57</v>
      </c>
      <c r="D36" s="22">
        <f>(((Q3*Q5)/Q6/Q7/Q21)+((Q15*Q17)/Q18/Q19/Q21))*$B$33</f>
        <v>0.60143444444444438</v>
      </c>
      <c r="E36" s="22">
        <f t="shared" ref="E36:F36" si="5">(((R3*R5)/R6/R7/R21)+((R15*R17)/R18/R19/R21))*$B$33</f>
        <v>0.59996527777777775</v>
      </c>
      <c r="F36" s="22">
        <f t="shared" si="5"/>
        <v>0.45525763888888893</v>
      </c>
      <c r="G36" s="22">
        <f>(((U3*U5)/U6/U7/T21)+((T15*T17)/T18/T19/T21))*$B$33</f>
        <v>0.452075</v>
      </c>
      <c r="H36" s="1">
        <v>0</v>
      </c>
      <c r="P36" s="1" t="s">
        <v>69</v>
      </c>
      <c r="Q36" s="12">
        <f>((Q27+(Q27*Q28))/2)*$M$4</f>
        <v>323.39999999999998</v>
      </c>
      <c r="R36" s="12">
        <f>((R27+(R27*R28))/2)*$M$4</f>
        <v>705.6</v>
      </c>
      <c r="S36" s="12">
        <f>((S27+(S27*S28))/2)*$M$4</f>
        <v>735</v>
      </c>
      <c r="T36" s="12">
        <f>((T27+(T27*T28))/2)*$M$4</f>
        <v>470.4</v>
      </c>
    </row>
    <row r="37" spans="1:20" x14ac:dyDescent="0.25">
      <c r="C37" s="3" t="s">
        <v>77</v>
      </c>
      <c r="D37" s="22">
        <f>(((Q11+Q12)/Q7/Q21)+((Q23+Q24)/Q19/Q21))*$B$33</f>
        <v>2.8951588888888891</v>
      </c>
      <c r="E37" s="22">
        <f t="shared" ref="E37" si="6">(((R11+R12)/R7/R21)+((R23+R24)/R19/R21))*$B$33</f>
        <v>2.4843855555555554</v>
      </c>
      <c r="F37" s="22">
        <f>(((S11+S12)/S7/S21)+((S23+S24)/S19/S21))*$B$33</f>
        <v>1.9038677777777777</v>
      </c>
      <c r="G37" s="22">
        <f>(((T11+T12)/T7/T21)+((T23+T24)/T19/T21))*$B$33</f>
        <v>1.7079399999999998</v>
      </c>
      <c r="H37" s="1">
        <v>0</v>
      </c>
    </row>
    <row r="38" spans="1:20" x14ac:dyDescent="0.25">
      <c r="C38" s="7"/>
      <c r="D38" s="24"/>
      <c r="E38" s="24"/>
      <c r="F38" s="24"/>
      <c r="G38" s="24"/>
      <c r="H38" s="7"/>
      <c r="P38" t="s">
        <v>85</v>
      </c>
      <c r="Q38" s="10" t="s">
        <v>86</v>
      </c>
      <c r="R38" s="10" t="s">
        <v>87</v>
      </c>
      <c r="S38" s="10" t="s">
        <v>88</v>
      </c>
      <c r="T38" s="10" t="s">
        <v>89</v>
      </c>
    </row>
    <row r="39" spans="1:20" x14ac:dyDescent="0.25">
      <c r="C39" s="1" t="s">
        <v>79</v>
      </c>
      <c r="D39" s="22">
        <f>SUM(D34:D37)</f>
        <v>7.8457941333333334</v>
      </c>
      <c r="E39" s="22">
        <f t="shared" ref="E39:H39" si="7">SUM(E34:E37)</f>
        <v>5.9081908333333324</v>
      </c>
      <c r="F39" s="22">
        <f t="shared" si="7"/>
        <v>4.3803754166666664</v>
      </c>
      <c r="G39" s="22">
        <f t="shared" si="7"/>
        <v>4.1000271000000001</v>
      </c>
      <c r="H39" s="1">
        <f t="shared" si="7"/>
        <v>0</v>
      </c>
      <c r="P39" s="1" t="s">
        <v>53</v>
      </c>
      <c r="Q39" s="17">
        <v>193000</v>
      </c>
      <c r="R39" s="17">
        <v>202000</v>
      </c>
      <c r="S39" s="17">
        <v>279000</v>
      </c>
      <c r="T39" s="17">
        <v>334000</v>
      </c>
    </row>
    <row r="40" spans="1:20" x14ac:dyDescent="0.25">
      <c r="D40" s="25"/>
      <c r="E40" s="25"/>
      <c r="F40" s="25"/>
      <c r="G40" s="25"/>
      <c r="P40" s="1" t="s">
        <v>55</v>
      </c>
      <c r="Q40" s="13">
        <v>0.3</v>
      </c>
      <c r="R40" s="13">
        <v>0.3</v>
      </c>
      <c r="S40" s="13">
        <v>0.3</v>
      </c>
      <c r="T40" s="13">
        <v>0.3</v>
      </c>
    </row>
    <row r="41" spans="1:20" x14ac:dyDescent="0.25">
      <c r="C41" s="1" t="s">
        <v>90</v>
      </c>
      <c r="D41" s="22" t="s">
        <v>91</v>
      </c>
      <c r="E41" s="22" t="s">
        <v>92</v>
      </c>
      <c r="F41" s="22" t="s">
        <v>93</v>
      </c>
      <c r="G41" s="25"/>
      <c r="P41" s="1" t="s">
        <v>57</v>
      </c>
      <c r="Q41" s="13">
        <v>0.15</v>
      </c>
      <c r="R41" s="13">
        <v>0.15</v>
      </c>
      <c r="S41" s="13">
        <v>0.15</v>
      </c>
      <c r="T41" s="13">
        <v>0.15</v>
      </c>
    </row>
    <row r="42" spans="1:20" x14ac:dyDescent="0.25">
      <c r="C42" s="3" t="s">
        <v>76</v>
      </c>
      <c r="D42" s="22">
        <f>($M$3/Q33)*$B$49</f>
        <v>1.2600000000000002</v>
      </c>
      <c r="E42" s="22">
        <f t="shared" ref="E42:F42" si="8">($M$3/R33)*$B$49</f>
        <v>0.84</v>
      </c>
      <c r="F42" s="22">
        <f t="shared" si="8"/>
        <v>0.63000000000000012</v>
      </c>
      <c r="G42" s="25"/>
      <c r="P42" s="1" t="s">
        <v>61</v>
      </c>
      <c r="Q42" s="1">
        <v>8</v>
      </c>
      <c r="R42" s="1">
        <v>8</v>
      </c>
      <c r="S42" s="1">
        <v>8</v>
      </c>
      <c r="T42" s="1">
        <v>8</v>
      </c>
    </row>
    <row r="43" spans="1:20" x14ac:dyDescent="0.25">
      <c r="C43" s="3" t="s">
        <v>1</v>
      </c>
      <c r="D43" s="22">
        <f>(($M$2*Q33)/R9)*$B$49</f>
        <v>4.6262028127313091</v>
      </c>
      <c r="E43" s="22">
        <f t="shared" ref="E43" si="9">(($M$2*R33)/S9)*$B$49</f>
        <v>6.1224489795918364</v>
      </c>
      <c r="F43" s="22">
        <f>(($M$2*S33)/U9)*$B$49</f>
        <v>6.1675780291134341</v>
      </c>
      <c r="G43" s="25"/>
      <c r="P43" s="1" t="s">
        <v>66</v>
      </c>
      <c r="Q43" s="1">
        <v>350</v>
      </c>
      <c r="R43" s="1">
        <v>350</v>
      </c>
      <c r="S43" s="1">
        <v>350</v>
      </c>
      <c r="T43" s="1">
        <v>350</v>
      </c>
    </row>
    <row r="44" spans="1:20" x14ac:dyDescent="0.25">
      <c r="C44" s="3" t="s">
        <v>57</v>
      </c>
      <c r="D44" s="22">
        <f>(((R3*R5)/R6/R7/Q33)+((Q15*Q17)/Q18/Q19/Q33)+((Q27*Q29)/Q30/Q31/Q33))</f>
        <v>0.78411083333333342</v>
      </c>
      <c r="E44" s="22">
        <f t="shared" ref="E44" si="10">(((S3*S5)/S6/S7/R33)+((R15*R17)/R18/R19/R33)+((R27*R29)/R30/R31/R33))</f>
        <v>0.93352777777777773</v>
      </c>
      <c r="F44" s="22">
        <f>(((U3*U5)/U6/U7/R33)+((S15*S17)/S18/S19/R33)+((R27*R29)/R30/R31/R33))</f>
        <v>1.0610444444444445</v>
      </c>
      <c r="G44" s="25"/>
      <c r="P44" s="6"/>
      <c r="Q44" s="6"/>
      <c r="R44" s="6"/>
      <c r="S44" s="6"/>
      <c r="T44" s="6"/>
    </row>
    <row r="45" spans="1:20" x14ac:dyDescent="0.25">
      <c r="C45" s="3" t="s">
        <v>77</v>
      </c>
      <c r="D45" s="22">
        <f>((R11+R12)/R7/Q33)+((R23+R24)/R19/Q33)+((Q35+Q36)/Q31/Q33)</f>
        <v>3.1984913333333336</v>
      </c>
      <c r="E45" s="22">
        <f t="shared" ref="E45" si="11">((S11+S12)/S7/R33)+((S23+S24)/S19/R33)+((R35+R36)/R31/R33)</f>
        <v>2.7262168888888887</v>
      </c>
      <c r="F45" s="22">
        <f>((U11+U12)/U7/R33)+((T23+T24)/T19/R33)+((R35+R36)/R31/R33)</f>
        <v>3.4999346666666664</v>
      </c>
      <c r="G45" s="25"/>
      <c r="P45" s="1" t="s">
        <v>78</v>
      </c>
      <c r="Q45" s="1">
        <f>1/0.017</f>
        <v>58.823529411764703</v>
      </c>
      <c r="R45" s="1">
        <f>1/0.013</f>
        <v>76.92307692307692</v>
      </c>
      <c r="S45" s="1">
        <f>1/0.011</f>
        <v>90.909090909090921</v>
      </c>
      <c r="T45" s="1">
        <f>1/0.008</f>
        <v>125</v>
      </c>
    </row>
    <row r="46" spans="1:20" x14ac:dyDescent="0.25">
      <c r="C46" s="7"/>
      <c r="D46" s="24"/>
      <c r="E46" s="24"/>
      <c r="F46" s="24"/>
      <c r="G46" s="25"/>
      <c r="P46" s="1" t="s">
        <v>94</v>
      </c>
      <c r="Q46" s="1">
        <v>9</v>
      </c>
      <c r="R46" s="1">
        <v>11.81</v>
      </c>
      <c r="S46" s="1">
        <v>12.73</v>
      </c>
      <c r="T46" s="1">
        <v>15.44</v>
      </c>
    </row>
    <row r="47" spans="1:20" x14ac:dyDescent="0.25">
      <c r="C47" s="1" t="s">
        <v>79</v>
      </c>
      <c r="D47" s="22">
        <f>SUM(D42:D45)</f>
        <v>9.8688049793979751</v>
      </c>
      <c r="E47" s="22">
        <f t="shared" ref="E47:F47" si="12">SUM(E42:E45)</f>
        <v>10.622193646258502</v>
      </c>
      <c r="F47" s="22">
        <f t="shared" si="12"/>
        <v>11.358557140224544</v>
      </c>
      <c r="G47" s="25"/>
      <c r="P47" s="6"/>
      <c r="Q47" s="6"/>
      <c r="R47" s="6"/>
      <c r="S47" s="6"/>
      <c r="T47" s="6"/>
    </row>
    <row r="48" spans="1:20" x14ac:dyDescent="0.25">
      <c r="D48" s="25"/>
      <c r="E48" s="25"/>
      <c r="F48" s="25"/>
      <c r="G48" s="25"/>
      <c r="P48" s="1" t="s">
        <v>68</v>
      </c>
      <c r="Q48" s="12">
        <f>(Q39-(Q39*Q40))/Q42</f>
        <v>16887.5</v>
      </c>
      <c r="R48" s="12">
        <f t="shared" ref="R48:T48" si="13">(R39-(R39*R40))/R42</f>
        <v>17675</v>
      </c>
      <c r="S48" s="12">
        <f t="shared" si="13"/>
        <v>24412.5</v>
      </c>
      <c r="T48" s="12">
        <f t="shared" si="13"/>
        <v>29225</v>
      </c>
    </row>
    <row r="49" spans="1:21" x14ac:dyDescent="0.25">
      <c r="A49" t="s">
        <v>83</v>
      </c>
      <c r="B49">
        <f>'Cover Crop Cost'!$D$10</f>
        <v>1</v>
      </c>
      <c r="C49" s="1" t="s">
        <v>31</v>
      </c>
      <c r="D49" s="22" t="s">
        <v>9</v>
      </c>
      <c r="E49" s="22" t="s">
        <v>52</v>
      </c>
      <c r="F49" s="22" t="s">
        <v>81</v>
      </c>
      <c r="G49" s="22" t="s">
        <v>82</v>
      </c>
      <c r="P49" s="1" t="s">
        <v>69</v>
      </c>
      <c r="Q49" s="12">
        <f>((Q39+(Q39*Q40))/2)*$M$4</f>
        <v>7527</v>
      </c>
      <c r="R49" s="12">
        <f>((R39+(R39*R40))/2)*$M$4</f>
        <v>7878</v>
      </c>
      <c r="S49" s="12">
        <f>((S39+(S39*S40))/2)*$M$4</f>
        <v>10881</v>
      </c>
      <c r="T49" s="12">
        <f>((T39+(T39*T40))/2)*$M$4</f>
        <v>13026</v>
      </c>
    </row>
    <row r="50" spans="1:21" x14ac:dyDescent="0.25">
      <c r="C50" s="3" t="s">
        <v>76</v>
      </c>
      <c r="D50" s="22">
        <f>($M$3/Q33)*$B$49</f>
        <v>1.2600000000000002</v>
      </c>
      <c r="E50" s="22">
        <f t="shared" ref="E50:G50" si="14">($M$3/R33)*$B$49</f>
        <v>0.84</v>
      </c>
      <c r="F50" s="22">
        <f t="shared" si="14"/>
        <v>0.63000000000000012</v>
      </c>
      <c r="G50" s="22">
        <f t="shared" si="14"/>
        <v>0.49500000000000005</v>
      </c>
    </row>
    <row r="51" spans="1:21" x14ac:dyDescent="0.25">
      <c r="C51" s="3" t="s">
        <v>1</v>
      </c>
      <c r="D51" s="22">
        <f>(($M$2*R9)/Q33)*$B$49</f>
        <v>1.9454400000000003</v>
      </c>
      <c r="E51" s="22">
        <f>(($M$2*S9)/R33)*$B$49</f>
        <v>1.47</v>
      </c>
      <c r="F51" s="22">
        <f>(($M$2*S9)/S33)*$B$49</f>
        <v>1.1025</v>
      </c>
      <c r="G51" s="22">
        <f>(($M$2*S9)/T33)*$B$49</f>
        <v>0.86625000000000008</v>
      </c>
      <c r="P51" s="1" t="s">
        <v>95</v>
      </c>
      <c r="Q51" s="10" t="s">
        <v>51</v>
      </c>
      <c r="R51" s="10" t="s">
        <v>9</v>
      </c>
      <c r="S51" s="10" t="s">
        <v>52</v>
      </c>
      <c r="T51" s="10" t="s">
        <v>3</v>
      </c>
      <c r="U51" s="10" t="s">
        <v>41</v>
      </c>
    </row>
    <row r="52" spans="1:21" x14ac:dyDescent="0.25">
      <c r="C52" s="3" t="s">
        <v>57</v>
      </c>
      <c r="D52" s="22">
        <f>((R3*R5)/R6/R7/Q33)+((Q27*Q29)/Q30/Q31/Q33)*$B$49</f>
        <v>0.6470625000000001</v>
      </c>
      <c r="E52" s="22">
        <f>((S3*S5)/S6/S7/R33)+((R27*R29)/R30/R31/R33)*$B$49</f>
        <v>0.70874999999999999</v>
      </c>
      <c r="F52" s="22">
        <f>((S3*S5)/S6/S7/S33)+((S27*S29)/S30/S31/S33)*$B$49</f>
        <v>0.54534375000000013</v>
      </c>
      <c r="G52" s="22">
        <f>((S3*S5)/S6/S7/T33)+((T27*T29)/T30/T31/T33)*$B$49</f>
        <v>0.33103125</v>
      </c>
      <c r="P52" s="1" t="s">
        <v>53</v>
      </c>
      <c r="Q52" s="1">
        <v>42200</v>
      </c>
      <c r="R52" s="1">
        <v>66300</v>
      </c>
      <c r="S52" s="1">
        <v>89000</v>
      </c>
      <c r="T52" s="12">
        <v>12400</v>
      </c>
      <c r="U52" s="3">
        <v>0</v>
      </c>
    </row>
    <row r="53" spans="1:21" x14ac:dyDescent="0.25">
      <c r="C53" s="3" t="s">
        <v>77</v>
      </c>
      <c r="D53" s="22">
        <f>((R11+R12)/R7/Q33)+((Q35+Q36)/Q31/Q33)*$B$49</f>
        <v>2.5241580000000003</v>
      </c>
      <c r="E53" s="22">
        <f t="shared" ref="E53" si="15">((S11+S12)/S7/R33)+((R35+R36)/R31/R33)*$B$49</f>
        <v>2.2211280000000002</v>
      </c>
      <c r="F53" s="22">
        <f>((S11+S12)/S7/S33)+((S35+S36)/S31/S33)*$B$49</f>
        <v>1.6830450000000003</v>
      </c>
      <c r="G53" s="22">
        <f>((S11+S12)/S7/T33)+((T35+T36)/T31/T33)*$B$49</f>
        <v>1.200771</v>
      </c>
      <c r="P53" s="1" t="s">
        <v>55</v>
      </c>
      <c r="Q53" s="13">
        <v>0.45</v>
      </c>
      <c r="R53" s="13">
        <v>0.45</v>
      </c>
      <c r="S53" s="13">
        <v>0.45</v>
      </c>
      <c r="T53" s="1">
        <v>0.4</v>
      </c>
      <c r="U53" s="16">
        <v>0</v>
      </c>
    </row>
    <row r="54" spans="1:21" x14ac:dyDescent="0.25">
      <c r="C54" s="9"/>
      <c r="D54" s="26"/>
      <c r="E54" s="26"/>
      <c r="F54" s="26"/>
      <c r="G54" s="26"/>
      <c r="P54" s="1" t="s">
        <v>57</v>
      </c>
      <c r="Q54" s="13">
        <v>0.45</v>
      </c>
      <c r="R54" s="13">
        <v>0.45</v>
      </c>
      <c r="S54" s="13">
        <v>0.45</v>
      </c>
      <c r="T54" s="1">
        <v>0.45</v>
      </c>
      <c r="U54" s="3">
        <v>0</v>
      </c>
    </row>
    <row r="55" spans="1:21" x14ac:dyDescent="0.25">
      <c r="C55" s="1" t="s">
        <v>79</v>
      </c>
      <c r="D55" s="22">
        <f>SUM(D50:D53)</f>
        <v>6.3766605000000007</v>
      </c>
      <c r="E55" s="22">
        <f t="shared" ref="E55:G55" si="16">SUM(E50:E53)</f>
        <v>5.239878</v>
      </c>
      <c r="F55" s="22">
        <f t="shared" si="16"/>
        <v>3.9608887500000005</v>
      </c>
      <c r="G55" s="22">
        <f t="shared" si="16"/>
        <v>2.8930522500000002</v>
      </c>
      <c r="P55" s="1" t="s">
        <v>61</v>
      </c>
      <c r="Q55" s="1">
        <v>8</v>
      </c>
      <c r="R55" s="1">
        <v>8</v>
      </c>
      <c r="S55" s="1">
        <v>8</v>
      </c>
      <c r="T55" s="1">
        <v>8</v>
      </c>
      <c r="U55" s="16">
        <v>0</v>
      </c>
    </row>
    <row r="56" spans="1:21" x14ac:dyDescent="0.25">
      <c r="D56" s="25"/>
      <c r="E56" s="25"/>
      <c r="F56" s="25"/>
      <c r="G56" s="25"/>
      <c r="P56" s="1" t="s">
        <v>66</v>
      </c>
      <c r="Q56" s="1">
        <v>150</v>
      </c>
      <c r="R56" s="1">
        <v>150</v>
      </c>
      <c r="S56" s="1">
        <v>150</v>
      </c>
      <c r="T56" s="1">
        <v>100</v>
      </c>
      <c r="U56" s="3">
        <v>0</v>
      </c>
    </row>
    <row r="57" spans="1:21" x14ac:dyDescent="0.25">
      <c r="A57" t="s">
        <v>83</v>
      </c>
      <c r="B57">
        <f>'Cover Crop Cost'!$D$10</f>
        <v>1</v>
      </c>
      <c r="C57" s="1" t="s">
        <v>96</v>
      </c>
      <c r="D57" s="22" t="s">
        <v>86</v>
      </c>
      <c r="E57" s="22" t="s">
        <v>87</v>
      </c>
      <c r="F57" s="22" t="s">
        <v>88</v>
      </c>
      <c r="G57" s="22" t="s">
        <v>89</v>
      </c>
      <c r="P57" s="6"/>
      <c r="Q57" s="6"/>
      <c r="R57" s="6"/>
      <c r="S57" s="6"/>
      <c r="T57" s="6"/>
      <c r="U57" s="6"/>
    </row>
    <row r="58" spans="1:21" x14ac:dyDescent="0.25">
      <c r="C58" s="3" t="s">
        <v>76</v>
      </c>
      <c r="D58" s="22">
        <f>($M$3/Q45)*$B$57</f>
        <v>0.255</v>
      </c>
      <c r="E58" s="22">
        <f t="shared" ref="E58:G58" si="17">($M$3/R45)*$B$57</f>
        <v>0.19500000000000001</v>
      </c>
      <c r="F58" s="22">
        <f t="shared" si="17"/>
        <v>0.16499999999999998</v>
      </c>
      <c r="G58" s="22">
        <f t="shared" si="17"/>
        <v>0.12</v>
      </c>
      <c r="P58" s="1" t="s">
        <v>78</v>
      </c>
      <c r="Q58" s="1">
        <f>1/0.163</f>
        <v>6.1349693251533743</v>
      </c>
      <c r="R58" s="1">
        <f>1/0.098</f>
        <v>10.204081632653061</v>
      </c>
      <c r="S58" s="1">
        <f>1/0.065</f>
        <v>15.384615384615383</v>
      </c>
      <c r="T58" s="1">
        <f>1/0.04209</f>
        <v>23.758612497030171</v>
      </c>
      <c r="U58" s="18">
        <v>0</v>
      </c>
    </row>
    <row r="59" spans="1:21" x14ac:dyDescent="0.25">
      <c r="C59" s="3" t="s">
        <v>1</v>
      </c>
      <c r="D59" s="22">
        <f>(($M$2*Q46)/Q45)*$B$57</f>
        <v>0.45900000000000002</v>
      </c>
      <c r="E59" s="22">
        <f t="shared" ref="E59:G59" si="18">(($M$2*R46)/R45)*$B$57</f>
        <v>0.46059</v>
      </c>
      <c r="F59" s="22">
        <f t="shared" si="18"/>
        <v>0.42008999999999991</v>
      </c>
      <c r="G59" s="22">
        <f t="shared" si="18"/>
        <v>0.37056</v>
      </c>
      <c r="P59" s="6"/>
      <c r="Q59" s="6"/>
      <c r="R59" s="6"/>
      <c r="S59" s="6"/>
      <c r="T59" s="6"/>
      <c r="U59" s="6"/>
    </row>
    <row r="60" spans="1:21" x14ac:dyDescent="0.25">
      <c r="C60" s="3" t="s">
        <v>57</v>
      </c>
      <c r="D60" s="22">
        <f>+((Q39*Q41)/Q42/Q43/Q45)*$B$57</f>
        <v>0.17576785714285714</v>
      </c>
      <c r="E60" s="22">
        <f t="shared" ref="E60:G60" si="19">+((R39*R41)/R42/R43/R45)*$B$57</f>
        <v>0.14067857142857143</v>
      </c>
      <c r="F60" s="22">
        <f t="shared" si="19"/>
        <v>0.16441071428571427</v>
      </c>
      <c r="G60" s="22">
        <f t="shared" si="19"/>
        <v>0.14314285714285713</v>
      </c>
      <c r="H60" s="19"/>
      <c r="P60" s="1" t="s">
        <v>68</v>
      </c>
      <c r="Q60" s="12">
        <f>(Q52-(Q52*Q53))/Q55</f>
        <v>2901.25</v>
      </c>
      <c r="R60" s="12">
        <f t="shared" ref="R60:S60" si="20">(R52-(R52*R53))/R55</f>
        <v>4558.125</v>
      </c>
      <c r="S60" s="12">
        <f t="shared" si="20"/>
        <v>6118.75</v>
      </c>
      <c r="T60" s="1">
        <f>(T52+(T52*T53))/T55</f>
        <v>2170</v>
      </c>
      <c r="U60" s="16">
        <v>0</v>
      </c>
    </row>
    <row r="61" spans="1:21" x14ac:dyDescent="0.25">
      <c r="C61" s="3" t="s">
        <v>77</v>
      </c>
      <c r="D61" s="22">
        <f>((Q48+Q49)/Q43/Q45)*$B$57</f>
        <v>1.1858471428571431</v>
      </c>
      <c r="E61" s="22">
        <f t="shared" ref="E61:G61" si="21">((R48+R49)/R43/R45)*$B$57</f>
        <v>0.94911142857142861</v>
      </c>
      <c r="F61" s="22">
        <f t="shared" si="21"/>
        <v>1.1092242857142856</v>
      </c>
      <c r="G61" s="22">
        <f t="shared" si="21"/>
        <v>0.96573714285714285</v>
      </c>
      <c r="P61" s="1" t="s">
        <v>69</v>
      </c>
      <c r="Q61" s="12">
        <f>((Q52+(Q52*Q53))/2)*$M$4</f>
        <v>1835.7</v>
      </c>
      <c r="R61" s="12">
        <f t="shared" ref="R61:S61" si="22">((R52+(R52*R53))/2)*$M$4</f>
        <v>2884.0499999999997</v>
      </c>
      <c r="S61" s="12">
        <f t="shared" si="22"/>
        <v>3871.5</v>
      </c>
      <c r="T61" s="1">
        <f>(T52+(T52*T53)/2)*'[2]Machinery updated'!$C$4</f>
        <v>892.8</v>
      </c>
      <c r="U61" s="3">
        <v>0</v>
      </c>
    </row>
    <row r="62" spans="1:21" x14ac:dyDescent="0.25">
      <c r="C62" s="9"/>
      <c r="D62" s="26"/>
      <c r="E62" s="26"/>
      <c r="F62" s="26"/>
      <c r="G62" s="26"/>
      <c r="H62" s="30"/>
    </row>
    <row r="63" spans="1:21" x14ac:dyDescent="0.25">
      <c r="C63" s="1" t="s">
        <v>79</v>
      </c>
      <c r="D63" s="22">
        <f>SUM(D58:D61)</f>
        <v>2.075615</v>
      </c>
      <c r="E63" s="22">
        <f t="shared" ref="E63:G63" si="23">SUM(E58:E61)</f>
        <v>1.7453799999999999</v>
      </c>
      <c r="F63" s="22">
        <f t="shared" si="23"/>
        <v>1.8587249999999997</v>
      </c>
      <c r="G63" s="22">
        <f t="shared" si="23"/>
        <v>1.59944</v>
      </c>
      <c r="H63" s="29"/>
      <c r="I63" s="29"/>
      <c r="J63" t="s">
        <v>97</v>
      </c>
      <c r="K63" s="1" t="s">
        <v>98</v>
      </c>
      <c r="L63" s="22" t="s">
        <v>51</v>
      </c>
      <c r="M63" s="22" t="s">
        <v>9</v>
      </c>
      <c r="N63" s="22" t="s">
        <v>52</v>
      </c>
      <c r="O63" s="1" t="str">
        <f t="shared" ref="O63:P63" si="24">T51</f>
        <v>Broadcast</v>
      </c>
      <c r="P63" s="1" t="str">
        <f t="shared" si="24"/>
        <v>Aerial</v>
      </c>
    </row>
    <row r="64" spans="1:21" x14ac:dyDescent="0.25">
      <c r="D64" s="25"/>
      <c r="E64" s="25"/>
      <c r="F64" s="25"/>
      <c r="G64" s="25"/>
      <c r="H64" s="25"/>
      <c r="I64" s="25"/>
      <c r="J64" s="32">
        <f>SUM(L64:P64)</f>
        <v>0</v>
      </c>
      <c r="K64" s="3" t="s">
        <v>76</v>
      </c>
      <c r="L64" s="12">
        <f>IF(AND('Cover Crop Cost'!$D$6='Machinery Cost'!$G$2,'Cover Crop Cost'!$D$8='Machinery Cost'!$E$3),'Machinery Cost'!D74,0)</f>
        <v>0</v>
      </c>
      <c r="M64" s="12">
        <f>IF(AND('Cover Crop Cost'!$D$6='Machinery Cost'!$G$2,'Cover Crop Cost'!$D$8='Machinery Cost'!$F$3),'Machinery Cost'!E74,0)</f>
        <v>0</v>
      </c>
      <c r="N64" s="12">
        <f>IF(AND('Cover Crop Cost'!$D$6='Machinery Cost'!$G$2,'Cover Crop Cost'!$D$8='Machinery Cost'!$G$3),'Machinery Cost'!F74,0)</f>
        <v>0</v>
      </c>
      <c r="O64" s="12">
        <f>IF('Cover Crop Cost'!$D$6='Machinery Cost'!$F$2,'Machinery Cost'!G74,0)</f>
        <v>0</v>
      </c>
      <c r="P64" s="12">
        <f>IF('Cover Crop Cost'!$D$6='Machinery Cost'!$E$2,'Machinery Cost'!H74,0)</f>
        <v>0</v>
      </c>
    </row>
    <row r="65" spans="3:19" x14ac:dyDescent="0.25">
      <c r="C65" s="1" t="s">
        <v>99</v>
      </c>
      <c r="D65" s="22" t="s">
        <v>51</v>
      </c>
      <c r="E65" s="22" t="s">
        <v>9</v>
      </c>
      <c r="F65" s="22" t="s">
        <v>52</v>
      </c>
      <c r="G65" s="25"/>
      <c r="H65" s="25"/>
      <c r="I65" s="25"/>
      <c r="J65" s="32">
        <f t="shared" ref="J65:J69" si="25">SUM(L65:P65)</f>
        <v>0</v>
      </c>
      <c r="K65" s="3" t="s">
        <v>1</v>
      </c>
      <c r="L65" s="12">
        <f>IF(AND('Cover Crop Cost'!$D$6='Machinery Cost'!$G$2,'Cover Crop Cost'!$D$8='Machinery Cost'!$E$3),'Machinery Cost'!D75,0)</f>
        <v>0</v>
      </c>
      <c r="M65" s="12">
        <f>IF(AND('Cover Crop Cost'!$D$6='Machinery Cost'!$G$2,'Cover Crop Cost'!$D$8='Machinery Cost'!$F$3),'Machinery Cost'!E75,0)</f>
        <v>0</v>
      </c>
      <c r="N65" s="12">
        <f>IF(AND('Cover Crop Cost'!$D$6='Machinery Cost'!$G$2,'Cover Crop Cost'!$D$8='Machinery Cost'!$G$3),'Machinery Cost'!F75,0)</f>
        <v>0</v>
      </c>
      <c r="O65" s="12">
        <f>IF('Cover Crop Cost'!$D$6='Machinery Cost'!$F$2,'Machinery Cost'!G75,0)</f>
        <v>0</v>
      </c>
      <c r="P65" s="12">
        <f>IF('Cover Crop Cost'!$D$6='Machinery Cost'!$E$2,'Machinery Cost'!H75,0)</f>
        <v>0</v>
      </c>
    </row>
    <row r="66" spans="3:19" x14ac:dyDescent="0.25">
      <c r="C66" s="3" t="s">
        <v>76</v>
      </c>
      <c r="D66" s="22">
        <v>0</v>
      </c>
      <c r="E66" s="22">
        <v>0</v>
      </c>
      <c r="F66" s="22">
        <v>0</v>
      </c>
      <c r="G66" s="25"/>
      <c r="H66" s="25"/>
      <c r="I66" s="25"/>
      <c r="J66" s="32">
        <f t="shared" si="25"/>
        <v>0</v>
      </c>
      <c r="K66" s="3" t="s">
        <v>57</v>
      </c>
      <c r="L66" s="12">
        <f>IF(AND('Cover Crop Cost'!$D$6='Machinery Cost'!$G$2,'Cover Crop Cost'!$D$8='Machinery Cost'!$E$3),'Machinery Cost'!D76,0)</f>
        <v>0</v>
      </c>
      <c r="M66" s="12">
        <f>IF(AND('Cover Crop Cost'!$D$6='Machinery Cost'!$G$2,'Cover Crop Cost'!$D$8='Machinery Cost'!$F$3),'Machinery Cost'!E76,0)</f>
        <v>0</v>
      </c>
      <c r="N66" s="12">
        <f>IF(AND('Cover Crop Cost'!$D$6='Machinery Cost'!$G$2,'Cover Crop Cost'!$D$8='Machinery Cost'!$G$3),'Machinery Cost'!F76,0)</f>
        <v>0</v>
      </c>
      <c r="O66" s="12">
        <f>IF('Cover Crop Cost'!$D$6='Machinery Cost'!$F$2,'Machinery Cost'!G76,0)</f>
        <v>0</v>
      </c>
      <c r="P66" s="12">
        <f>IF('Cover Crop Cost'!$D$6='Machinery Cost'!$E$2,'Machinery Cost'!H76,0)</f>
        <v>0</v>
      </c>
    </row>
    <row r="67" spans="3:19" x14ac:dyDescent="0.25">
      <c r="C67" s="3" t="s">
        <v>1</v>
      </c>
      <c r="D67" s="22">
        <v>0</v>
      </c>
      <c r="E67" s="22">
        <v>0</v>
      </c>
      <c r="F67" s="22">
        <v>0</v>
      </c>
      <c r="G67" s="25"/>
      <c r="H67" s="25"/>
      <c r="I67" s="25"/>
      <c r="J67" s="32">
        <f t="shared" si="25"/>
        <v>0</v>
      </c>
      <c r="K67" s="3" t="s">
        <v>77</v>
      </c>
      <c r="L67" s="12">
        <f>IF(AND('Cover Crop Cost'!$D$6='Machinery Cost'!$G$2,'Cover Crop Cost'!$D$8='Machinery Cost'!$E$3),'Machinery Cost'!D77,0)</f>
        <v>0</v>
      </c>
      <c r="M67" s="12">
        <f>IF(AND('Cover Crop Cost'!$D$6='Machinery Cost'!$G$2,'Cover Crop Cost'!$D$8='Machinery Cost'!$F$3),'Machinery Cost'!E77,0)</f>
        <v>0</v>
      </c>
      <c r="N67" s="12">
        <f>IF(AND('Cover Crop Cost'!$D$6='Machinery Cost'!$G$2,'Cover Crop Cost'!$D$8='Machinery Cost'!$G$3),'Machinery Cost'!F77,0)</f>
        <v>0</v>
      </c>
      <c r="O67" s="12">
        <f>IF('Cover Crop Cost'!$D$6='Machinery Cost'!$F$2,'Machinery Cost'!G77,0)</f>
        <v>0</v>
      </c>
      <c r="P67" s="12">
        <f>IF('Cover Crop Cost'!$D$6='Machinery Cost'!$E$2,'Machinery Cost'!H77,0)</f>
        <v>0</v>
      </c>
    </row>
    <row r="68" spans="3:19" x14ac:dyDescent="0.25">
      <c r="C68" s="3" t="s">
        <v>57</v>
      </c>
      <c r="D68" s="22">
        <v>0</v>
      </c>
      <c r="E68" s="22">
        <v>0</v>
      </c>
      <c r="F68" s="22">
        <v>0</v>
      </c>
      <c r="G68" s="25"/>
      <c r="H68" s="25"/>
      <c r="I68" s="25"/>
      <c r="J68" s="32">
        <f t="shared" si="25"/>
        <v>0</v>
      </c>
      <c r="K68" s="5"/>
      <c r="L68" s="31"/>
      <c r="M68" s="31"/>
      <c r="N68" s="31"/>
      <c r="O68" s="31"/>
      <c r="P68" s="31"/>
    </row>
    <row r="69" spans="3:19" x14ac:dyDescent="0.25">
      <c r="C69" s="3" t="s">
        <v>77</v>
      </c>
      <c r="D69" s="22">
        <f>((Q23+Q24)/Q19/Q21)</f>
        <v>0.40461888888888886</v>
      </c>
      <c r="E69" s="22">
        <f t="shared" ref="E69:F69" si="26">((R23+R24)/R19/R21)</f>
        <v>0.59405555555555545</v>
      </c>
      <c r="F69" s="22">
        <f t="shared" si="26"/>
        <v>0.44195277777777775</v>
      </c>
      <c r="G69" s="25"/>
      <c r="H69" s="25"/>
      <c r="I69" s="25"/>
      <c r="J69" s="32">
        <f t="shared" si="25"/>
        <v>0</v>
      </c>
      <c r="K69" s="1" t="s">
        <v>79</v>
      </c>
      <c r="L69" s="12">
        <f>SUM(L64:L67)</f>
        <v>0</v>
      </c>
      <c r="M69" s="12">
        <f t="shared" ref="M69:P69" si="27">SUM(M64:M67)</f>
        <v>0</v>
      </c>
      <c r="N69" s="12">
        <f t="shared" si="27"/>
        <v>0</v>
      </c>
      <c r="O69" s="12">
        <f t="shared" si="27"/>
        <v>0</v>
      </c>
      <c r="P69" s="12">
        <f t="shared" si="27"/>
        <v>0</v>
      </c>
    </row>
    <row r="70" spans="3:19" x14ac:dyDescent="0.25">
      <c r="C70" s="8"/>
      <c r="D70" s="27"/>
      <c r="E70" s="27"/>
      <c r="F70" s="27"/>
      <c r="G70" s="25"/>
      <c r="H70" s="25"/>
      <c r="I70" s="25"/>
    </row>
    <row r="71" spans="3:19" x14ac:dyDescent="0.25">
      <c r="C71" s="1" t="s">
        <v>79</v>
      </c>
      <c r="D71" s="22">
        <f>SUM(D66:D69)</f>
        <v>0.40461888888888886</v>
      </c>
      <c r="E71" s="22">
        <f t="shared" ref="E71:F71" si="28">SUM(E66:E69)</f>
        <v>0.59405555555555545</v>
      </c>
      <c r="F71" s="22">
        <f t="shared" si="28"/>
        <v>0.44195277777777775</v>
      </c>
      <c r="G71" s="25"/>
      <c r="H71" s="25"/>
      <c r="I71" s="25"/>
      <c r="J71" t="s">
        <v>100</v>
      </c>
      <c r="K71" s="1" t="s">
        <v>101</v>
      </c>
      <c r="L71" s="3" t="s">
        <v>51</v>
      </c>
      <c r="M71" s="3" t="s">
        <v>9</v>
      </c>
      <c r="N71" s="3" t="s">
        <v>52</v>
      </c>
      <c r="O71" s="3" t="s">
        <v>59</v>
      </c>
      <c r="P71" s="3" t="s">
        <v>60</v>
      </c>
    </row>
    <row r="72" spans="3:19" x14ac:dyDescent="0.25">
      <c r="D72" s="25"/>
      <c r="E72" s="25"/>
      <c r="F72" s="25"/>
      <c r="G72" s="25"/>
      <c r="H72" s="25"/>
      <c r="I72" s="25"/>
      <c r="J72" s="21">
        <f>SUM(L72:P72)</f>
        <v>0</v>
      </c>
      <c r="K72" s="3" t="s">
        <v>76</v>
      </c>
      <c r="L72" s="1">
        <f>IF(AND('Cover Crop Cost'!$D$7='Machinery Cost'!$G$7,'Cover Crop Cost'!$D$11='Machinery Cost'!$E$6),'Machinery Cost'!D34,0)</f>
        <v>0</v>
      </c>
      <c r="M72" s="1">
        <f>IF(AND('Cover Crop Cost'!$D$7='Machinery Cost'!$G$7,'Cover Crop Cost'!$D$11='Machinery Cost'!$F$6),'Machinery Cost'!E34,0)</f>
        <v>0</v>
      </c>
      <c r="N72" s="1">
        <f>IF(AND('Cover Crop Cost'!$D$7='Machinery Cost'!$G$7,'Cover Crop Cost'!$D$11='Machinery Cost'!$G$6),'Machinery Cost'!F34,0)</f>
        <v>0</v>
      </c>
      <c r="O72" s="1">
        <f>IF(AND('Cover Crop Cost'!$D$7='Machinery Cost'!$G$7,'Cover Crop Cost'!$D$11='Machinery Cost'!$H$6),'Machinery Cost'!G34,0)</f>
        <v>0</v>
      </c>
      <c r="P72" s="1">
        <f>IF(AND('Cover Crop Cost'!$D$7='Machinery Cost'!$G$7,'Cover Crop Cost'!$D$11='Machinery Cost'!$I$6),'Machinery Cost'!H34,0)</f>
        <v>0</v>
      </c>
    </row>
    <row r="73" spans="3:19" x14ac:dyDescent="0.25">
      <c r="C73" s="1" t="s">
        <v>95</v>
      </c>
      <c r="D73" s="22" t="s">
        <v>51</v>
      </c>
      <c r="E73" s="22" t="s">
        <v>9</v>
      </c>
      <c r="F73" s="22" t="s">
        <v>52</v>
      </c>
      <c r="G73" s="22" t="s">
        <v>3</v>
      </c>
      <c r="H73" s="22" t="s">
        <v>41</v>
      </c>
      <c r="I73" s="29"/>
      <c r="J73" s="21">
        <f t="shared" ref="J73:J77" si="29">SUM(L73:P73)</f>
        <v>0</v>
      </c>
      <c r="K73" s="3" t="s">
        <v>1</v>
      </c>
      <c r="L73" s="1">
        <f>IF(AND('Cover Crop Cost'!$D$7='Machinery Cost'!$G$7,'Cover Crop Cost'!$D$11='Machinery Cost'!$E$6),'Machinery Cost'!D35,0)</f>
        <v>0</v>
      </c>
      <c r="M73" s="1">
        <f>IF(AND('Cover Crop Cost'!$D$7='Machinery Cost'!$G$7,'Cover Crop Cost'!$D$11='Machinery Cost'!$F$6),'Machinery Cost'!E35,0)</f>
        <v>0</v>
      </c>
      <c r="N73" s="1">
        <f>IF(AND('Cover Crop Cost'!$D$7='Machinery Cost'!$G$7,'Cover Crop Cost'!$D$11='Machinery Cost'!$G$6),'Machinery Cost'!F35,0)</f>
        <v>0</v>
      </c>
      <c r="O73" s="1">
        <f>IF(AND('Cover Crop Cost'!$D$7='Machinery Cost'!$G$7,'Cover Crop Cost'!$D$11='Machinery Cost'!$H$6),'Machinery Cost'!G35,0)</f>
        <v>0</v>
      </c>
      <c r="P73" s="1">
        <f>IF(AND('Cover Crop Cost'!$D$7='Machinery Cost'!$G$7,'Cover Crop Cost'!$D$11='Machinery Cost'!$I$6),'Machinery Cost'!H35,0)</f>
        <v>0</v>
      </c>
    </row>
    <row r="74" spans="3:19" x14ac:dyDescent="0.25">
      <c r="C74" s="3" t="s">
        <v>76</v>
      </c>
      <c r="D74" s="22">
        <f>+($M$3/Q58)</f>
        <v>2.4449999999999998</v>
      </c>
      <c r="E74" s="22">
        <f t="shared" ref="E74:G74" si="30">+($M$3/R58)</f>
        <v>1.47</v>
      </c>
      <c r="F74" s="22">
        <f t="shared" si="30"/>
        <v>0.97500000000000009</v>
      </c>
      <c r="G74" s="22">
        <f t="shared" si="30"/>
        <v>0.63135000000000008</v>
      </c>
      <c r="H74" s="22">
        <v>0</v>
      </c>
      <c r="I74" s="29"/>
      <c r="J74" s="21">
        <f t="shared" si="29"/>
        <v>0</v>
      </c>
      <c r="K74" s="3" t="s">
        <v>57</v>
      </c>
      <c r="L74" s="1">
        <f>IF(AND('Cover Crop Cost'!$D$7='Machinery Cost'!$G$7,'Cover Crop Cost'!$D$11='Machinery Cost'!$E$6),'Machinery Cost'!D36,0)</f>
        <v>0</v>
      </c>
      <c r="M74" s="1">
        <f>IF(AND('Cover Crop Cost'!$D$7='Machinery Cost'!$G$7,'Cover Crop Cost'!$D$11='Machinery Cost'!$F$6),'Machinery Cost'!E36,0)</f>
        <v>0</v>
      </c>
      <c r="N74" s="1">
        <f>IF(AND('Cover Crop Cost'!$D$7='Machinery Cost'!$G$7,'Cover Crop Cost'!$D$11='Machinery Cost'!$G$6),'Machinery Cost'!F36,0)</f>
        <v>0</v>
      </c>
      <c r="O74" s="1">
        <f>IF(AND('Cover Crop Cost'!$D$7='Machinery Cost'!$G$7,'Cover Crop Cost'!$D$11='Machinery Cost'!$H$6),'Machinery Cost'!G36,0)</f>
        <v>0</v>
      </c>
      <c r="P74" s="1">
        <f>IF(AND('Cover Crop Cost'!$D$7='Machinery Cost'!$G$7,'Cover Crop Cost'!$D$11='Machinery Cost'!$I$6),'Machinery Cost'!H36,0)</f>
        <v>0</v>
      </c>
    </row>
    <row r="75" spans="3:19" x14ac:dyDescent="0.25">
      <c r="C75" s="3" t="s">
        <v>1</v>
      </c>
      <c r="D75" s="22">
        <f>(($M$2*Q9)/Q58)</f>
        <v>3.2720945999999995</v>
      </c>
      <c r="E75" s="22">
        <f>(($M$2*S9)/R58)</f>
        <v>2.5725000000000002</v>
      </c>
      <c r="F75" s="22">
        <f>(($M$2*U9)/S58)</f>
        <v>2.2583535000000006</v>
      </c>
      <c r="G75" s="22">
        <f>($M$2*T9)/T58</f>
        <v>1.2349205999999999</v>
      </c>
      <c r="H75" s="22">
        <v>0</v>
      </c>
      <c r="I75" s="29"/>
      <c r="J75" s="21">
        <f t="shared" si="29"/>
        <v>0</v>
      </c>
      <c r="K75" s="3" t="s">
        <v>77</v>
      </c>
      <c r="L75" s="1">
        <f>IF(AND('Cover Crop Cost'!$D$7='Machinery Cost'!$G$7,'Cover Crop Cost'!$D$11='Machinery Cost'!$E$6),'Machinery Cost'!D37,0)</f>
        <v>0</v>
      </c>
      <c r="M75" s="1">
        <f>IF(AND('Cover Crop Cost'!$D$7='Machinery Cost'!$G$7,'Cover Crop Cost'!$D$11='Machinery Cost'!$F$6),'Machinery Cost'!E37,0)</f>
        <v>0</v>
      </c>
      <c r="N75" s="1">
        <f>IF(AND('Cover Crop Cost'!$D$7='Machinery Cost'!$G$7,'Cover Crop Cost'!$D$11='Machinery Cost'!$G$6),'Machinery Cost'!F37,0)</f>
        <v>0</v>
      </c>
      <c r="O75" s="1">
        <f>IF(AND('Cover Crop Cost'!$D$7='Machinery Cost'!$G$7,'Cover Crop Cost'!$D$11='Machinery Cost'!$H$6),'Machinery Cost'!G37,0)</f>
        <v>0</v>
      </c>
      <c r="P75" s="1">
        <f>IF(AND('Cover Crop Cost'!$D$7='Machinery Cost'!$G$7,'Cover Crop Cost'!$D$11='Machinery Cost'!$I$6),'Machinery Cost'!H37,0)</f>
        <v>0</v>
      </c>
    </row>
    <row r="76" spans="3:19" x14ac:dyDescent="0.25">
      <c r="C76" s="3" t="s">
        <v>57</v>
      </c>
      <c r="D76" s="22">
        <f>((Q3*Q5)/Q6/Q7/Q58)+((Q52*Q54)/Q55/Q56/Q58)</f>
        <v>3.10413125</v>
      </c>
      <c r="E76" s="22">
        <f>((S3*S5)/S6/S7/R58)+((R52*R54)/R55/R56/R58)</f>
        <v>2.9050875</v>
      </c>
      <c r="F76" s="22">
        <f>((U3*U5)/U6/U7/S58)+((S52*S54)/S55/S56/S58)</f>
        <v>2.5959375000000002</v>
      </c>
      <c r="G76" s="22">
        <f>((T3*T5)/T6/T7/T58)+((T52*T54)/T55/T56/T58)</f>
        <v>0.52112681250000004</v>
      </c>
      <c r="H76" s="22">
        <v>0</v>
      </c>
      <c r="I76" s="29"/>
      <c r="J76" s="21">
        <f t="shared" si="29"/>
        <v>0</v>
      </c>
      <c r="K76" s="5"/>
      <c r="L76" s="5"/>
      <c r="M76" s="5"/>
      <c r="N76" s="5"/>
      <c r="O76" s="5"/>
      <c r="P76" s="5"/>
    </row>
    <row r="77" spans="3:19" x14ac:dyDescent="0.25">
      <c r="C77" s="3" t="s">
        <v>77</v>
      </c>
      <c r="D77" s="22">
        <f>((Q11+Q12)/Q7/Q58)</f>
        <v>3.2738550000000002</v>
      </c>
      <c r="E77" s="22">
        <f>((S11+S12)/S7/R58)</f>
        <v>2.9238300000000002</v>
      </c>
      <c r="F77" s="22">
        <f>((U11+U12)/U7/S58)</f>
        <v>2.7698125</v>
      </c>
      <c r="G77" s="22">
        <f>((T11+T12)/T7/T58)+((T60+T61)/T56/T58)</f>
        <v>2.70903867</v>
      </c>
      <c r="H77" s="22">
        <v>0</v>
      </c>
      <c r="I77" s="29"/>
      <c r="J77" s="21">
        <f t="shared" si="29"/>
        <v>0</v>
      </c>
      <c r="K77" s="1" t="s">
        <v>79</v>
      </c>
      <c r="L77" s="1">
        <f>SUM(L72:L75)</f>
        <v>0</v>
      </c>
      <c r="M77" s="1">
        <f t="shared" ref="M77:P77" si="31">SUM(M72:M75)</f>
        <v>0</v>
      </c>
      <c r="N77" s="1">
        <f t="shared" si="31"/>
        <v>0</v>
      </c>
      <c r="O77" s="1">
        <f t="shared" si="31"/>
        <v>0</v>
      </c>
      <c r="P77" s="1">
        <f t="shared" si="31"/>
        <v>0</v>
      </c>
    </row>
    <row r="78" spans="3:19" x14ac:dyDescent="0.25">
      <c r="C78" s="6"/>
      <c r="D78" s="28"/>
      <c r="E78" s="28"/>
      <c r="F78" s="28"/>
      <c r="G78" s="28"/>
      <c r="H78" s="28"/>
      <c r="I78" s="30"/>
    </row>
    <row r="79" spans="3:19" x14ac:dyDescent="0.25">
      <c r="C79" s="1" t="s">
        <v>79</v>
      </c>
      <c r="D79" s="22">
        <f>+SUM(D74:D77)</f>
        <v>12.095080849999999</v>
      </c>
      <c r="E79" s="22">
        <f t="shared" ref="E79:H79" si="32">+SUM(E74:E77)</f>
        <v>9.8714175000000015</v>
      </c>
      <c r="F79" s="22">
        <f t="shared" si="32"/>
        <v>8.5991035000000018</v>
      </c>
      <c r="G79" s="22">
        <f t="shared" si="32"/>
        <v>5.0964360825000004</v>
      </c>
      <c r="H79" s="22">
        <f t="shared" si="32"/>
        <v>0</v>
      </c>
      <c r="I79" s="29"/>
      <c r="J79" t="s">
        <v>102</v>
      </c>
      <c r="K79" s="1" t="s">
        <v>103</v>
      </c>
      <c r="L79" s="1" t="s">
        <v>32</v>
      </c>
      <c r="M79" s="1" t="s">
        <v>33</v>
      </c>
      <c r="N79" s="1" t="s">
        <v>7</v>
      </c>
      <c r="O79" s="1" t="s">
        <v>34</v>
      </c>
      <c r="P79" s="1" t="s">
        <v>35</v>
      </c>
      <c r="Q79" s="1" t="s">
        <v>36</v>
      </c>
      <c r="R79" s="1" t="s">
        <v>37</v>
      </c>
      <c r="S79" s="1" t="s">
        <v>38</v>
      </c>
    </row>
    <row r="80" spans="3:19" x14ac:dyDescent="0.25">
      <c r="J80" s="21">
        <f>SUM(L80:S80)</f>
        <v>0</v>
      </c>
      <c r="K80" s="3" t="s">
        <v>76</v>
      </c>
      <c r="L80" s="1">
        <f>IF(AND('Cover Crop Cost'!$D$7='Machinery Cost'!$G$7,'Cover Crop Cost'!$D$9='Machinery Cost'!$Y$1),'Machinery Cost'!D50,IF(AND('Cover Crop Cost'!$D$7='Machinery Cost'!$H$7,'Cover Crop Cost'!$D$9='Machinery Cost'!$Y$1),'Machinery Cost'!D50,IF(AND('Cover Crop Cost'!$D$7='Machinery Cost'!$E$7,'Cover Crop Cost'!$D$9='Machinery Cost'!$Y$1),'Machinery Cost'!D50,0)))</f>
        <v>0</v>
      </c>
      <c r="M80" s="1">
        <f>IF(AND('Cover Crop Cost'!$D$7='Machinery Cost'!$G$7,'Cover Crop Cost'!$D$9='Machinery Cost'!$Z$1),'Machinery Cost'!E50,IF(AND('Cover Crop Cost'!$D$7='Machinery Cost'!$H$7,'Cover Crop Cost'!$D$9='Machinery Cost'!$Z$1),'Machinery Cost'!E50,IF(AND('Cover Crop Cost'!$D$7='Machinery Cost'!$E$7,'Cover Crop Cost'!$D$9='Machinery Cost'!$Z$1),'Machinery Cost'!E50,0)))</f>
        <v>0</v>
      </c>
      <c r="N80" s="1">
        <f>IF(AND('Cover Crop Cost'!$D$7='Machinery Cost'!$G$7,'Cover Crop Cost'!$D$9='Machinery Cost'!$AA$1),'Machinery Cost'!F50,IF(AND('Cover Crop Cost'!$D$7='Machinery Cost'!$H$7,'Cover Crop Cost'!$D$9='Machinery Cost'!$AA$1),'Machinery Cost'!F50,IF(AND('Cover Crop Cost'!$D$7='Machinery Cost'!$E$7,'Cover Crop Cost'!$D$9='Machinery Cost'!AA1),'Machinery Cost'!F50,0)))</f>
        <v>0</v>
      </c>
      <c r="O80" s="1">
        <f>IF(AND('Cover Crop Cost'!$D$7='Machinery Cost'!$G$7,'Cover Crop Cost'!$D$9='Machinery Cost'!$AB$1),'Machinery Cost'!G50,IF(AND('Cover Crop Cost'!$D$7='Machinery Cost'!$H$7,'Cover Crop Cost'!$D$9='Machinery Cost'!$AB$1),'Machinery Cost'!G50,IF(AND('Cover Crop Cost'!$D$7='Machinery Cost'!$E$7,'Cover Crop Cost'!$D$9='Machinery Cost'!$AB$1),'Machinery Cost'!G50,0)))</f>
        <v>0</v>
      </c>
      <c r="P80" s="1">
        <f>IF(AND('Cover Crop Cost'!$D$7='Machinery Cost'!$G$7,'Cover Crop Cost'!$D$9='Machinery Cost'!$AC$1),'Machinery Cost'!D58,IF(AND('Cover Crop Cost'!$D$7='Machinery Cost'!$H$7,'Cover Crop Cost'!$D$9='Machinery Cost'!$AC$1),'Machinery Cost'!D58,IF(AND('Cover Crop Cost'!$D$7='Machinery Cost'!$E$7,'Cover Crop Cost'!$D$9='Machinery Cost'!$AC$1),'Machinery Cost'!D58,0)))</f>
        <v>0</v>
      </c>
      <c r="Q80" s="1">
        <f>IF(AND('Cover Crop Cost'!$D$7='Machinery Cost'!$G$7,'Cover Crop Cost'!$D$9='Machinery Cost'!$AD$1),'Machinery Cost'!E58,IF(AND('Cover Crop Cost'!$D$7='Machinery Cost'!$H$7,'Cover Crop Cost'!$D$9='Machinery Cost'!$AD$1),'Machinery Cost'!E58,IF(AND('Cover Crop Cost'!$D$7='Machinery Cost'!$E$7,'Cover Crop Cost'!$D$9='Machinery Cost'!$AD$1),'Machinery Cost'!E58,0)))</f>
        <v>0</v>
      </c>
      <c r="R80" s="1">
        <f>IF(AND('Cover Crop Cost'!$D$7='Machinery Cost'!$G$7,'Cover Crop Cost'!$D$9='Machinery Cost'!$AE$1),'Machinery Cost'!F58,IF(AND('Cover Crop Cost'!$D$7='Machinery Cost'!$H$7,'Cover Crop Cost'!$D$9='Machinery Cost'!$AE$1),'Machinery Cost'!F58,IF(AND('Cover Crop Cost'!$D$7='Machinery Cost'!$E$7,'Cover Crop Cost'!$D$9='Machinery Cost'!$AE$1),'Machinery Cost'!F58,0)))</f>
        <v>0</v>
      </c>
      <c r="S80" s="1">
        <f>IF(AND('Cover Crop Cost'!$D$7='Machinery Cost'!$G$7,'Cover Crop Cost'!$D$9='Machinery Cost'!$AF$1),'Machinery Cost'!G58,IF(AND('Cover Crop Cost'!$D$7='Machinery Cost'!$H$7,'Cover Crop Cost'!$D$9='Machinery Cost'!$AF$1),'Machinery Cost'!G58,IF(AND('Cover Crop Cost'!$D$7='Machinery Cost'!$E$7,'Cover Crop Cost'!$D$9='Machinery Cost'!$AF$1),'Machinery Cost'!G58,0)))</f>
        <v>0</v>
      </c>
    </row>
    <row r="81" spans="3:19" x14ac:dyDescent="0.25">
      <c r="C81" t="s">
        <v>104</v>
      </c>
      <c r="D81" t="s">
        <v>105</v>
      </c>
      <c r="J81" s="21">
        <f t="shared" ref="J81:J83" si="33">SUM(L81:S81)</f>
        <v>0</v>
      </c>
      <c r="K81" s="3" t="s">
        <v>1</v>
      </c>
      <c r="L81" s="1">
        <f>IF(AND('Cover Crop Cost'!$D$7='Machinery Cost'!$G$7,'Cover Crop Cost'!$D$9='Machinery Cost'!$Y$1),'Machinery Cost'!D51,IF(AND('Cover Crop Cost'!$D$7='Machinery Cost'!$H$7,'Cover Crop Cost'!$D$9='Machinery Cost'!$Y$1),'Machinery Cost'!D51,IF(AND('Cover Crop Cost'!$D$7='Machinery Cost'!$E$7,'Cover Crop Cost'!$D$9='Machinery Cost'!$Y$1),'Machinery Cost'!D51,0)))</f>
        <v>0</v>
      </c>
      <c r="M81" s="1">
        <f>IF(AND('Cover Crop Cost'!$D$7='Machinery Cost'!$G$7,'Cover Crop Cost'!$D$9='Machinery Cost'!$Z$1),'Machinery Cost'!E51,IF(AND('Cover Crop Cost'!$D$7='Machinery Cost'!$H$7,'Cover Crop Cost'!$D$9='Machinery Cost'!$Z$1),'Machinery Cost'!E51,IF(AND('Cover Crop Cost'!$D$7='Machinery Cost'!$E$7,'Cover Crop Cost'!$D$9='Machinery Cost'!$Z$1),'Machinery Cost'!E51,0)))</f>
        <v>0</v>
      </c>
      <c r="N81" s="1">
        <f>IF(AND('Cover Crop Cost'!$D$7='Machinery Cost'!$G$7,'Cover Crop Cost'!$D$9='Machinery Cost'!$AA$1),'Machinery Cost'!F51,IF(AND('Cover Crop Cost'!$D$7='Machinery Cost'!$H$7,'Cover Crop Cost'!$D$9='Machinery Cost'!$AA$1),'Machinery Cost'!F51,IF(AND('Cover Crop Cost'!$D$7='Machinery Cost'!$E$7,'Cover Crop Cost'!$D$9='Machinery Cost'!AA1),'Machinery Cost'!F51,0)))</f>
        <v>0</v>
      </c>
      <c r="O81" s="1">
        <f>IF(AND('Cover Crop Cost'!$D$7='Machinery Cost'!$G$7,'Cover Crop Cost'!$D$9='Machinery Cost'!$AB$1),'Machinery Cost'!G51,IF(AND('Cover Crop Cost'!$D$7='Machinery Cost'!$H$7,'Cover Crop Cost'!$D$9='Machinery Cost'!$AB$1),'Machinery Cost'!G51,IF(AND('Cover Crop Cost'!$D$7='Machinery Cost'!$E$7,'Cover Crop Cost'!$D$9='Machinery Cost'!$AB$1),'Machinery Cost'!G51,0)))</f>
        <v>0</v>
      </c>
      <c r="P81" s="1">
        <f>IF(AND('Cover Crop Cost'!$D$7='Machinery Cost'!$G$7,'Cover Crop Cost'!$D$9='Machinery Cost'!$AC$1),'Machinery Cost'!D59,IF(AND('Cover Crop Cost'!$D$7='Machinery Cost'!$H$7,'Cover Crop Cost'!$D$9='Machinery Cost'!$AC$1),'Machinery Cost'!D59,IF(AND('Cover Crop Cost'!$D$7='Machinery Cost'!$E$7,'Cover Crop Cost'!$D$9='Machinery Cost'!$AC$1),'Machinery Cost'!D59,0)))</f>
        <v>0</v>
      </c>
      <c r="Q81" s="1">
        <f>IF(AND('Cover Crop Cost'!$D$7='Machinery Cost'!$G$7,'Cover Crop Cost'!$D$9='Machinery Cost'!$AD$1),'Machinery Cost'!E59,IF(AND('Cover Crop Cost'!$D$7='Machinery Cost'!$H$7,'Cover Crop Cost'!$D$9='Machinery Cost'!$AD$1),'Machinery Cost'!E59,IF(AND('Cover Crop Cost'!$D$7='Machinery Cost'!$E$7,'Cover Crop Cost'!$D$9='Machinery Cost'!$AD$1),'Machinery Cost'!E59,0)))</f>
        <v>0</v>
      </c>
      <c r="R81" s="1">
        <f>IF(AND('Cover Crop Cost'!$D$7='Machinery Cost'!$G$7,'Cover Crop Cost'!$D$9='Machinery Cost'!$AE$1),'Machinery Cost'!F59,IF(AND('Cover Crop Cost'!$D$7='Machinery Cost'!$H$7,'Cover Crop Cost'!$D$9='Machinery Cost'!$AE$1),'Machinery Cost'!F59,IF(AND('Cover Crop Cost'!$D$7='Machinery Cost'!$E$7,'Cover Crop Cost'!$D$9='Machinery Cost'!$AE$1),'Machinery Cost'!F59,0)))</f>
        <v>0</v>
      </c>
      <c r="S81" s="1">
        <f>IF(AND('Cover Crop Cost'!$D$7='Machinery Cost'!$G$7,'Cover Crop Cost'!$D$9='Machinery Cost'!$AF$1),'Machinery Cost'!G59,IF(AND('Cover Crop Cost'!$D$7='Machinery Cost'!$H$7,'Cover Crop Cost'!$D$9='Machinery Cost'!$AF$1),'Machinery Cost'!G59,IF(AND('Cover Crop Cost'!$D$7='Machinery Cost'!$E$7,'Cover Crop Cost'!$D$9='Machinery Cost'!$AF$1),'Machinery Cost'!G59,0)))</f>
        <v>0</v>
      </c>
    </row>
    <row r="82" spans="3:19" x14ac:dyDescent="0.25">
      <c r="J82" s="21">
        <f t="shared" si="33"/>
        <v>0</v>
      </c>
      <c r="K82" s="3" t="s">
        <v>57</v>
      </c>
      <c r="L82" s="1">
        <f>IF(AND('Cover Crop Cost'!$D$7='Machinery Cost'!$G$7,'Cover Crop Cost'!$D$9='Machinery Cost'!$Y$1),'Machinery Cost'!D52,IF(AND('Cover Crop Cost'!$D$7='Machinery Cost'!$H$7,'Cover Crop Cost'!$D$9='Machinery Cost'!$Y$1),'Machinery Cost'!D52,IF(AND('Cover Crop Cost'!$D$7='Machinery Cost'!$E$7,'Cover Crop Cost'!$D$9='Machinery Cost'!$Y$1),'Machinery Cost'!D52,0)))</f>
        <v>0</v>
      </c>
      <c r="M82" s="1">
        <f>IF(AND('Cover Crop Cost'!$D$7='Machinery Cost'!$G$7,'Cover Crop Cost'!$D$9='Machinery Cost'!$Z$1),'Machinery Cost'!E52,IF(AND('Cover Crop Cost'!$D$7='Machinery Cost'!$H$7,'Cover Crop Cost'!$D$9='Machinery Cost'!$Z$1),'Machinery Cost'!E52,IF(AND('Cover Crop Cost'!$D$7='Machinery Cost'!$E$7,'Cover Crop Cost'!$D$9='Machinery Cost'!$Z$1),'Machinery Cost'!E52,0)))</f>
        <v>0</v>
      </c>
      <c r="N82" s="1">
        <f>IF(AND('Cover Crop Cost'!$D$7='Machinery Cost'!$G$7,'Cover Crop Cost'!$D$9='Machinery Cost'!$AA$1),'Machinery Cost'!F52,IF(AND('Cover Crop Cost'!$D$7='Machinery Cost'!$H$7,'Cover Crop Cost'!$D$9='Machinery Cost'!$AA$1),'Machinery Cost'!F52,IF(AND('Cover Crop Cost'!$D$7='Machinery Cost'!$E$7,'Cover Crop Cost'!$D$9='Machinery Cost'!AA1),'Machinery Cost'!F52,0)))</f>
        <v>0</v>
      </c>
      <c r="O82" s="1">
        <f>IF(AND('Cover Crop Cost'!$D$7='Machinery Cost'!$G$7,'Cover Crop Cost'!$D$9='Machinery Cost'!$AB$1),'Machinery Cost'!G52,IF(AND('Cover Crop Cost'!$D$7='Machinery Cost'!$H$7,'Cover Crop Cost'!$D$9='Machinery Cost'!$AB$1),'Machinery Cost'!G52,IF(AND('Cover Crop Cost'!$D$7='Machinery Cost'!$E$7,'Cover Crop Cost'!$D$9='Machinery Cost'!$AB$1),'Machinery Cost'!G52,0)))</f>
        <v>0</v>
      </c>
      <c r="P82" s="1">
        <f>IF(AND('Cover Crop Cost'!$D$7='Machinery Cost'!$G$7,'Cover Crop Cost'!$D$9='Machinery Cost'!$AC$1),'Machinery Cost'!D60,IF(AND('Cover Crop Cost'!$D$7='Machinery Cost'!$H$7,'Cover Crop Cost'!$D$9='Machinery Cost'!$AC$1),'Machinery Cost'!D60,IF(AND('Cover Crop Cost'!$D$7='Machinery Cost'!$E$7,'Cover Crop Cost'!$D$9='Machinery Cost'!$AC$1),'Machinery Cost'!D60,0)))</f>
        <v>0</v>
      </c>
      <c r="Q82" s="1">
        <f>IF(AND('Cover Crop Cost'!$D$7='Machinery Cost'!$G$7,'Cover Crop Cost'!$D$9='Machinery Cost'!$AD$1),'Machinery Cost'!E60,IF(AND('Cover Crop Cost'!$D$7='Machinery Cost'!$H$7,'Cover Crop Cost'!$D$9='Machinery Cost'!$AD$1),'Machinery Cost'!E60,IF(AND('Cover Crop Cost'!$D$7='Machinery Cost'!$E$7,'Cover Crop Cost'!$D$9='Machinery Cost'!$AD$1),'Machinery Cost'!E60,0)))</f>
        <v>0</v>
      </c>
      <c r="R82" s="1">
        <f>IF(AND('Cover Crop Cost'!$D$7='Machinery Cost'!$G$7,'Cover Crop Cost'!$D$9='Machinery Cost'!$AE$1),'Machinery Cost'!F60,IF(AND('Cover Crop Cost'!$D$7='Machinery Cost'!$H$7,'Cover Crop Cost'!$D$9='Machinery Cost'!$AE$1),'Machinery Cost'!F60,IF(AND('Cover Crop Cost'!$D$7='Machinery Cost'!$E$7,'Cover Crop Cost'!$D$9='Machinery Cost'!$AE$1),'Machinery Cost'!F60,0)))</f>
        <v>0</v>
      </c>
      <c r="S82" s="1">
        <f>IF(AND('Cover Crop Cost'!$D$7='Machinery Cost'!$G$7,'Cover Crop Cost'!$D$9='Machinery Cost'!$AF$1),'Machinery Cost'!G60,IF(AND('Cover Crop Cost'!$D$7='Machinery Cost'!$H$7,'Cover Crop Cost'!$D$9='Machinery Cost'!$AF$1),'Machinery Cost'!G60,IF(AND('Cover Crop Cost'!$D$7='Machinery Cost'!$E$7,'Cover Crop Cost'!$D$9='Machinery Cost'!$AF$1),'Machinery Cost'!G60,0)))</f>
        <v>0</v>
      </c>
    </row>
    <row r="83" spans="3:19" x14ac:dyDescent="0.25">
      <c r="J83" s="21">
        <f t="shared" si="33"/>
        <v>0</v>
      </c>
      <c r="K83" s="3" t="s">
        <v>77</v>
      </c>
      <c r="L83" s="1">
        <f>IF(AND('Cover Crop Cost'!$D$7='Machinery Cost'!$G$7,'Cover Crop Cost'!$D$9='Machinery Cost'!$Y$1),'Machinery Cost'!D53,IF(AND('Cover Crop Cost'!$D$7='Machinery Cost'!$H$7,'Cover Crop Cost'!$D$9='Machinery Cost'!$Y$1),'Machinery Cost'!D53,IF(AND('Cover Crop Cost'!$D$7='Machinery Cost'!$E$7,'Cover Crop Cost'!$D$9='Machinery Cost'!$Y$1),'Machinery Cost'!D53,0)))</f>
        <v>0</v>
      </c>
      <c r="M83" s="1">
        <f>IF(AND('Cover Crop Cost'!$D$7='Machinery Cost'!$G$7,'Cover Crop Cost'!$D$9='Machinery Cost'!$Z$1),'Machinery Cost'!E53,IF(AND('Cover Crop Cost'!$D$7='Machinery Cost'!$H$7,'Cover Crop Cost'!$D$9='Machinery Cost'!$Z$1),'Machinery Cost'!E53,IF(AND('Cover Crop Cost'!$D$7='Machinery Cost'!$E$7,'Cover Crop Cost'!$D$9='Machinery Cost'!$Z$1),'Machinery Cost'!E53,0)))</f>
        <v>0</v>
      </c>
      <c r="N83" s="1">
        <f>IF(AND('Cover Crop Cost'!$D$7='Machinery Cost'!$G$7,'Cover Crop Cost'!$D$9='Machinery Cost'!$AA$1),'Machinery Cost'!F53,IF(AND('Cover Crop Cost'!$D$7='Machinery Cost'!$H$7,'Cover Crop Cost'!$D$9='Machinery Cost'!$AA$1),'Machinery Cost'!F53,IF(AND('Cover Crop Cost'!$D$7='Machinery Cost'!$E$7,'Cover Crop Cost'!$D$9='Machinery Cost'!AA1),'Machinery Cost'!F53,0)))</f>
        <v>0</v>
      </c>
      <c r="O83" s="1">
        <f>IF(AND('Cover Crop Cost'!$D$7='Machinery Cost'!$G$7,'Cover Crop Cost'!$D$9='Machinery Cost'!$AB$1),'Machinery Cost'!G53,IF(AND('Cover Crop Cost'!$D$7='Machinery Cost'!$H$7,'Cover Crop Cost'!$D$9='Machinery Cost'!$AB$1),'Machinery Cost'!G53,IF(AND('Cover Crop Cost'!$D$7='Machinery Cost'!$E$7,'Cover Crop Cost'!$D$9='Machinery Cost'!$AB$1),'Machinery Cost'!G53,0)))</f>
        <v>0</v>
      </c>
      <c r="P83" s="1">
        <f>IF(AND('Cover Crop Cost'!$D$7='Machinery Cost'!$G$7,'Cover Crop Cost'!$D$9='Machinery Cost'!$AC$1),'Machinery Cost'!D61,IF(AND('Cover Crop Cost'!$D$7='Machinery Cost'!$H$7,'Cover Crop Cost'!$D$9='Machinery Cost'!$AC$1),'Machinery Cost'!D61,IF(AND('Cover Crop Cost'!$D$7='Machinery Cost'!$E$7,'Cover Crop Cost'!$D$9='Machinery Cost'!$AC$1),'Machinery Cost'!D61,0)))</f>
        <v>0</v>
      </c>
      <c r="Q83" s="1">
        <f>IF(AND('Cover Crop Cost'!$D$7='Machinery Cost'!$G$7,'Cover Crop Cost'!$D$9='Machinery Cost'!$AD$1),'Machinery Cost'!E61,IF(AND('Cover Crop Cost'!$D$7='Machinery Cost'!$H$7,'Cover Crop Cost'!$D$9='Machinery Cost'!$AD$1),'Machinery Cost'!E61,IF(AND('Cover Crop Cost'!$D$7='Machinery Cost'!$E$7,'Cover Crop Cost'!$D$9='Machinery Cost'!$AD$1),'Machinery Cost'!E61,0)))</f>
        <v>0</v>
      </c>
      <c r="R83" s="1">
        <f>IF(AND('Cover Crop Cost'!$D$7='Machinery Cost'!$G$7,'Cover Crop Cost'!$D$9='Machinery Cost'!$AE$1),'Machinery Cost'!F61,IF(AND('Cover Crop Cost'!$D$7='Machinery Cost'!$H$7,'Cover Crop Cost'!$D$9='Machinery Cost'!$AE$1),'Machinery Cost'!F61,IF(AND('Cover Crop Cost'!$D$7='Machinery Cost'!$E$7,'Cover Crop Cost'!$D$9='Machinery Cost'!$AE$1),'Machinery Cost'!F61,0)))</f>
        <v>0</v>
      </c>
      <c r="S83" s="1">
        <f>IF(AND('Cover Crop Cost'!$D$7='Machinery Cost'!$G$7,'Cover Crop Cost'!$D$9='Machinery Cost'!$AF$1),'Machinery Cost'!G61,IF(AND('Cover Crop Cost'!$D$7='Machinery Cost'!$H$7,'Cover Crop Cost'!$D$9='Machinery Cost'!$AF$1),'Machinery Cost'!G61,IF(AND('Cover Crop Cost'!$D$7='Machinery Cost'!$E$7,'Cover Crop Cost'!$D$9='Machinery Cost'!$AF$1),'Machinery Cost'!G61,0)))</f>
        <v>0</v>
      </c>
    </row>
    <row r="84" spans="3:19" x14ac:dyDescent="0.25">
      <c r="J84" s="21">
        <f>SUM(L84:S84)</f>
        <v>0</v>
      </c>
      <c r="K84" s="5"/>
      <c r="L84" s="5"/>
      <c r="M84" s="5"/>
      <c r="N84" s="5"/>
      <c r="O84" s="5"/>
      <c r="P84" s="5"/>
      <c r="Q84" s="5"/>
      <c r="R84" s="5"/>
      <c r="S84" s="5"/>
    </row>
    <row r="85" spans="3:19" x14ac:dyDescent="0.25">
      <c r="J85" s="21">
        <f>SUM(L85:S85)</f>
        <v>0</v>
      </c>
      <c r="K85" s="1" t="s">
        <v>79</v>
      </c>
      <c r="L85" s="1">
        <f>SUM(L80:L83)</f>
        <v>0</v>
      </c>
      <c r="M85" s="1">
        <f t="shared" ref="M85:S85" si="34">SUM(M80:M83)</f>
        <v>0</v>
      </c>
      <c r="N85" s="1">
        <f t="shared" si="34"/>
        <v>0</v>
      </c>
      <c r="O85" s="1">
        <f t="shared" si="34"/>
        <v>0</v>
      </c>
      <c r="P85" s="1">
        <f t="shared" si="34"/>
        <v>0</v>
      </c>
      <c r="Q85" s="1">
        <f t="shared" si="34"/>
        <v>0</v>
      </c>
      <c r="R85" s="1">
        <f t="shared" si="34"/>
        <v>0</v>
      </c>
      <c r="S85" s="1">
        <f t="shared" si="34"/>
        <v>0</v>
      </c>
    </row>
    <row r="87" spans="3:19" x14ac:dyDescent="0.25">
      <c r="J87" t="s">
        <v>106</v>
      </c>
      <c r="K87" s="1" t="s">
        <v>73</v>
      </c>
      <c r="L87" s="22" t="s">
        <v>91</v>
      </c>
      <c r="M87" s="22" t="s">
        <v>92</v>
      </c>
      <c r="N87" s="22" t="s">
        <v>93</v>
      </c>
      <c r="O87" s="19"/>
      <c r="P87" s="19"/>
      <c r="Q87" s="19"/>
      <c r="R87" s="19"/>
      <c r="S87" s="19"/>
    </row>
    <row r="88" spans="3:19" x14ac:dyDescent="0.25">
      <c r="J88" s="21">
        <f>SUM(L88:S88)</f>
        <v>0</v>
      </c>
      <c r="K88" s="3" t="s">
        <v>76</v>
      </c>
      <c r="L88" s="1">
        <f>IF(AND('Cover Crop Cost'!$D$7='Machinery Cost'!$F$7,'Cover Crop Cost'!$D$11='Machinery Cost'!$F$6),'Machinery Cost'!D42,0)</f>
        <v>0</v>
      </c>
      <c r="M88" s="1">
        <f>IF(AND('Cover Crop Cost'!$D$7='Machinery Cost'!$F$7,'Cover Crop Cost'!$D$11='Machinery Cost'!$G$6),'Machinery Cost'!E42,0)</f>
        <v>0</v>
      </c>
      <c r="N88" s="1">
        <f>IF(AND('Cover Crop Cost'!$D$7='Machinery Cost'!$F$7,'Cover Crop Cost'!$D$11='Machinery Cost'!$H$6),'Machinery Cost'!F42,0)</f>
        <v>0</v>
      </c>
      <c r="O88" s="19"/>
      <c r="P88" s="19"/>
      <c r="Q88" s="19"/>
      <c r="R88" s="19"/>
      <c r="S88" s="19"/>
    </row>
    <row r="89" spans="3:19" x14ac:dyDescent="0.25">
      <c r="J89" s="21">
        <f t="shared" ref="J89:J91" si="35">SUM(L89:S89)</f>
        <v>0</v>
      </c>
      <c r="K89" s="3" t="s">
        <v>1</v>
      </c>
      <c r="L89" s="1">
        <f>IF(AND('Cover Crop Cost'!$D$7='Machinery Cost'!$F$7,'Cover Crop Cost'!$D$11='Machinery Cost'!$F$6),'Machinery Cost'!D43,0)</f>
        <v>0</v>
      </c>
      <c r="M89" s="1">
        <f>IF(AND('Cover Crop Cost'!$D$7='Machinery Cost'!$F$7,'Cover Crop Cost'!$D$11='Machinery Cost'!$G$6),'Machinery Cost'!E43,0)</f>
        <v>0</v>
      </c>
      <c r="N89" s="1">
        <f>IF(AND('Cover Crop Cost'!$D$7='Machinery Cost'!$F$7,'Cover Crop Cost'!$D$11='Machinery Cost'!$H$6),'Machinery Cost'!F43,0)</f>
        <v>0</v>
      </c>
    </row>
    <row r="90" spans="3:19" x14ac:dyDescent="0.25">
      <c r="J90" s="21">
        <f t="shared" si="35"/>
        <v>0</v>
      </c>
      <c r="K90" s="3" t="s">
        <v>57</v>
      </c>
      <c r="L90" s="1">
        <f>IF(AND('Cover Crop Cost'!$D$7='Machinery Cost'!$F$7,'Cover Crop Cost'!$D$11='Machinery Cost'!$F$6),'Machinery Cost'!D44,0)</f>
        <v>0</v>
      </c>
      <c r="M90" s="1">
        <f>IF(AND('Cover Crop Cost'!$D$7='Machinery Cost'!$F$7,'Cover Crop Cost'!$D$11='Machinery Cost'!$G$6),'Machinery Cost'!E44,0)</f>
        <v>0</v>
      </c>
      <c r="N90" s="1">
        <f>IF(AND('Cover Crop Cost'!$D$7='Machinery Cost'!$F$7,'Cover Crop Cost'!$D$11='Machinery Cost'!$H$6),'Machinery Cost'!F44,0)</f>
        <v>0</v>
      </c>
    </row>
    <row r="91" spans="3:19" x14ac:dyDescent="0.25">
      <c r="J91" s="21">
        <f t="shared" si="35"/>
        <v>0</v>
      </c>
      <c r="K91" s="3" t="s">
        <v>77</v>
      </c>
      <c r="L91" s="1">
        <f>IF(AND('Cover Crop Cost'!$D$7='Machinery Cost'!$F$7,'Cover Crop Cost'!$D$11='Machinery Cost'!$F$6),'Machinery Cost'!D45,0)</f>
        <v>0</v>
      </c>
      <c r="M91" s="1">
        <f>IF(AND('Cover Crop Cost'!$D$7='Machinery Cost'!$F$7,'Cover Crop Cost'!$D$11='Machinery Cost'!$G$6),'Machinery Cost'!E45,0)</f>
        <v>0</v>
      </c>
      <c r="N91" s="1">
        <f>IF(AND('Cover Crop Cost'!$D$7='Machinery Cost'!$F$7,'Cover Crop Cost'!$D$11='Machinery Cost'!$H$6),'Machinery Cost'!F45,0)</f>
        <v>0</v>
      </c>
    </row>
    <row r="92" spans="3:19" x14ac:dyDescent="0.25">
      <c r="J92" s="21">
        <f>SUM(L92:S92)</f>
        <v>0</v>
      </c>
      <c r="K92" s="5"/>
      <c r="L92" s="5"/>
      <c r="M92" s="5"/>
      <c r="N92" s="5"/>
    </row>
    <row r="93" spans="3:19" x14ac:dyDescent="0.25">
      <c r="J93" s="21">
        <f>SUM(L93:S93)</f>
        <v>0</v>
      </c>
      <c r="K93" s="1" t="s">
        <v>79</v>
      </c>
      <c r="L93" s="1">
        <f>SUM(L88:L91)</f>
        <v>0</v>
      </c>
      <c r="M93" s="1">
        <f t="shared" ref="M93:N93" si="36">SUM(M88:M91)</f>
        <v>0</v>
      </c>
      <c r="N93" s="1">
        <f t="shared" si="36"/>
        <v>0</v>
      </c>
    </row>
    <row r="95" spans="3:19" x14ac:dyDescent="0.25">
      <c r="J95" t="s">
        <v>107</v>
      </c>
      <c r="K95" s="1" t="s">
        <v>74</v>
      </c>
      <c r="L95" s="22" t="s">
        <v>51</v>
      </c>
      <c r="M95" s="22" t="s">
        <v>9</v>
      </c>
      <c r="N95" s="22" t="s">
        <v>52</v>
      </c>
    </row>
    <row r="96" spans="3:19" x14ac:dyDescent="0.25">
      <c r="J96" s="21">
        <f>SUM(L96:S96)</f>
        <v>0</v>
      </c>
      <c r="K96" s="3" t="s">
        <v>76</v>
      </c>
      <c r="L96" s="1">
        <f>IF(AND('Cover Crop Cost'!$D$7='Machinery Cost'!$E$7,'Cover Crop Cost'!$D$11='Machinery Cost'!$E$6),'Machinery Cost'!D66,0)</f>
        <v>0</v>
      </c>
      <c r="M96" s="1">
        <f>IF(AND('Cover Crop Cost'!$D$7='Machinery Cost'!$E$7,'Cover Crop Cost'!$D$11='Machinery Cost'!$F$6),'Machinery Cost'!E66,0)</f>
        <v>0</v>
      </c>
      <c r="N96" s="1">
        <f>IF(AND('Cover Crop Cost'!$D$7='Machinery Cost'!$E$7,'Cover Crop Cost'!$D$11='Machinery Cost'!$G$6),'Machinery Cost'!F66,0)</f>
        <v>0</v>
      </c>
    </row>
    <row r="97" spans="10:14" x14ac:dyDescent="0.25">
      <c r="J97" s="21">
        <f t="shared" ref="J97:J99" si="37">SUM(L97:S97)</f>
        <v>0</v>
      </c>
      <c r="K97" s="3" t="s">
        <v>1</v>
      </c>
      <c r="L97" s="1">
        <f>IF(AND('Cover Crop Cost'!$D$7='Machinery Cost'!$E$7,'Cover Crop Cost'!$D$11='Machinery Cost'!$E$6),'Machinery Cost'!D67,0)</f>
        <v>0</v>
      </c>
      <c r="M97" s="1">
        <f>IF(AND('Cover Crop Cost'!$D$7='Machinery Cost'!$E$7,'Cover Crop Cost'!$D$11='Machinery Cost'!$F$6),'Machinery Cost'!E67,0)</f>
        <v>0</v>
      </c>
      <c r="N97" s="1">
        <f>IF(AND('Cover Crop Cost'!$D$7='Machinery Cost'!$E$7,'Cover Crop Cost'!$D$11='Machinery Cost'!$G$6),'Machinery Cost'!F67,0)</f>
        <v>0</v>
      </c>
    </row>
    <row r="98" spans="10:14" x14ac:dyDescent="0.25">
      <c r="J98" s="21">
        <f t="shared" si="37"/>
        <v>0</v>
      </c>
      <c r="K98" s="3" t="s">
        <v>57</v>
      </c>
      <c r="L98" s="1">
        <f>IF(AND('Cover Crop Cost'!$D$7='Machinery Cost'!$E$7,'Cover Crop Cost'!$D$11='Machinery Cost'!$E$6),'Machinery Cost'!D68,0)</f>
        <v>0</v>
      </c>
      <c r="M98" s="1">
        <f>IF(AND('Cover Crop Cost'!$D$7='Machinery Cost'!$E$7,'Cover Crop Cost'!$D$11='Machinery Cost'!$F$6),'Machinery Cost'!E68,0)</f>
        <v>0</v>
      </c>
      <c r="N98" s="1">
        <f>IF(AND('Cover Crop Cost'!$D$7='Machinery Cost'!$E$7,'Cover Crop Cost'!$D$11='Machinery Cost'!$G$6),'Machinery Cost'!F68,0)</f>
        <v>0</v>
      </c>
    </row>
    <row r="99" spans="10:14" x14ac:dyDescent="0.25">
      <c r="J99" s="21">
        <f t="shared" si="37"/>
        <v>0</v>
      </c>
      <c r="K99" s="3" t="s">
        <v>77</v>
      </c>
      <c r="L99" s="1">
        <f>IF(AND('Cover Crop Cost'!$D$7='Machinery Cost'!$E$7,'Cover Crop Cost'!$D$11='Machinery Cost'!$E$6),'Machinery Cost'!D69,0)</f>
        <v>0</v>
      </c>
      <c r="M99" s="1">
        <f>IF(AND('Cover Crop Cost'!$D$7='Machinery Cost'!$E$7,'Cover Crop Cost'!$D$11='Machinery Cost'!$F$6),'Machinery Cost'!E69,0)</f>
        <v>0</v>
      </c>
      <c r="N99" s="1">
        <f>IF(AND('Cover Crop Cost'!$D$7='Machinery Cost'!$E$7,'Cover Crop Cost'!$D$11='Machinery Cost'!$G$6),'Machinery Cost'!F69,0)</f>
        <v>0</v>
      </c>
    </row>
    <row r="100" spans="10:14" x14ac:dyDescent="0.25">
      <c r="J100" s="21">
        <f>SUM(L100:S100)</f>
        <v>0</v>
      </c>
      <c r="K100" s="5"/>
      <c r="L100" s="5"/>
      <c r="M100" s="5"/>
      <c r="N100" s="5"/>
    </row>
    <row r="101" spans="10:14" x14ac:dyDescent="0.25">
      <c r="J101" s="21">
        <f>SUM(L101:S101)</f>
        <v>0</v>
      </c>
      <c r="K101" s="1" t="s">
        <v>79</v>
      </c>
      <c r="L101" s="1">
        <f>SUM(L96:L99)</f>
        <v>0</v>
      </c>
      <c r="M101" s="1">
        <f t="shared" ref="M101:N101" si="38">SUM(M96:M99)</f>
        <v>0</v>
      </c>
      <c r="N101" s="1">
        <f t="shared" si="38"/>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Instructions</vt:lpstr>
      <vt:lpstr>Cover Crop Cost</vt:lpstr>
      <vt:lpstr>Machinery Cost</vt:lpstr>
    </vt:vector>
  </TitlesOfParts>
  <Manager/>
  <Company>UK Agricultural Economics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Ellis</dc:creator>
  <cp:keywords/>
  <dc:description/>
  <cp:lastModifiedBy>Jordan Shockley</cp:lastModifiedBy>
  <cp:revision/>
  <dcterms:created xsi:type="dcterms:W3CDTF">2018-10-22T14:00:14Z</dcterms:created>
  <dcterms:modified xsi:type="dcterms:W3CDTF">2019-06-13T18:02:45Z</dcterms:modified>
  <cp:category/>
  <cp:contentStatus/>
</cp:coreProperties>
</file>