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8997" lockStructure="1"/>
  <bookViews>
    <workbookView xWindow="195" yWindow="435" windowWidth="13260" windowHeight="9960" tabRatio="904" activeTab="1"/>
  </bookViews>
  <sheets>
    <sheet name="Cover" sheetId="30" r:id="rId1"/>
    <sheet name="Base Lease Info" sheetId="4" r:id="rId2"/>
    <sheet name="Avg" sheetId="9" state="hidden" r:id="rId3"/>
    <sheet name="(+1)" sheetId="20" state="hidden" r:id="rId4"/>
    <sheet name="(+2)" sheetId="21" state="hidden" r:id="rId5"/>
    <sheet name="(+3)" sheetId="22" state="hidden" r:id="rId6"/>
    <sheet name="(-1)" sheetId="23" state="hidden" r:id="rId7"/>
    <sheet name="(-2)" sheetId="24" state="hidden" r:id="rId8"/>
    <sheet name="(-3)" sheetId="25" state="hidden" r:id="rId9"/>
    <sheet name="Add Scenario" sheetId="26" state="hidden" r:id="rId10"/>
    <sheet name="Notes" sheetId="10" state="hidden" r:id="rId11"/>
  </sheets>
  <calcPr calcId="145621"/>
</workbook>
</file>

<file path=xl/calcChain.xml><?xml version="1.0" encoding="utf-8"?>
<calcChain xmlns="http://schemas.openxmlformats.org/spreadsheetml/2006/main">
  <c r="I5" i="4" l="1"/>
  <c r="F7" i="4"/>
  <c r="G7" i="4"/>
  <c r="H7" i="4"/>
  <c r="I7" i="4"/>
  <c r="J7" i="4"/>
  <c r="J4" i="4"/>
  <c r="J17" i="4" s="1"/>
  <c r="J5" i="4" l="1"/>
  <c r="J15" i="4" s="1"/>
  <c r="F107" i="25"/>
  <c r="F61" i="9"/>
  <c r="F150" i="21"/>
  <c r="F150" i="23"/>
  <c r="F150" i="25"/>
  <c r="F107" i="20"/>
  <c r="F107" i="22"/>
  <c r="F107" i="24"/>
  <c r="F150" i="20"/>
  <c r="F150" i="22"/>
  <c r="F150" i="24"/>
  <c r="F18" i="9"/>
  <c r="F107" i="21"/>
  <c r="F107" i="23"/>
  <c r="B19" i="4" l="1"/>
  <c r="B69" i="4"/>
  <c r="I68" i="4"/>
  <c r="C61" i="26"/>
  <c r="D60" i="26"/>
  <c r="E60" i="26"/>
  <c r="D61" i="26"/>
  <c r="F61" i="26" s="1"/>
  <c r="E61" i="26"/>
  <c r="F60" i="26"/>
  <c r="C60" i="26"/>
  <c r="B70" i="4"/>
  <c r="B20" i="4"/>
  <c r="D18" i="26"/>
  <c r="F18" i="26" s="1"/>
  <c r="E18" i="26"/>
  <c r="C18" i="26"/>
  <c r="D17" i="26"/>
  <c r="E17" i="26"/>
  <c r="F17" i="26"/>
  <c r="C17" i="26"/>
  <c r="C19" i="26" s="1"/>
  <c r="C29" i="26" s="1"/>
  <c r="F79" i="26"/>
  <c r="E79" i="26"/>
  <c r="D79" i="26"/>
  <c r="C79" i="26"/>
  <c r="F78" i="26"/>
  <c r="E78" i="26"/>
  <c r="D78" i="26"/>
  <c r="C78" i="26"/>
  <c r="F77" i="26"/>
  <c r="E77" i="26"/>
  <c r="D77" i="26"/>
  <c r="C77" i="26"/>
  <c r="E71" i="26"/>
  <c r="D71" i="26"/>
  <c r="C71" i="26"/>
  <c r="E70" i="26"/>
  <c r="D70" i="26"/>
  <c r="C70" i="26"/>
  <c r="D69" i="26"/>
  <c r="C69" i="26"/>
  <c r="C68" i="26"/>
  <c r="G64" i="26"/>
  <c r="F64" i="26"/>
  <c r="E64" i="26"/>
  <c r="D64" i="26"/>
  <c r="C64" i="26"/>
  <c r="G63" i="26"/>
  <c r="F63" i="26"/>
  <c r="E63" i="26"/>
  <c r="D63" i="26"/>
  <c r="C63" i="26"/>
  <c r="G54" i="26"/>
  <c r="F54" i="26"/>
  <c r="E54" i="26"/>
  <c r="D54" i="26"/>
  <c r="C54" i="26"/>
  <c r="C52" i="26"/>
  <c r="C51" i="26"/>
  <c r="C50" i="26"/>
  <c r="F36" i="26"/>
  <c r="E36" i="26"/>
  <c r="D36" i="26"/>
  <c r="C36" i="26"/>
  <c r="F35" i="26"/>
  <c r="E35" i="26"/>
  <c r="D35" i="26"/>
  <c r="C35" i="26"/>
  <c r="F34" i="26"/>
  <c r="E34" i="26"/>
  <c r="D34" i="26"/>
  <c r="C34" i="26"/>
  <c r="E26" i="26"/>
  <c r="G21" i="26"/>
  <c r="F21" i="26"/>
  <c r="E21" i="26"/>
  <c r="D21" i="26"/>
  <c r="C21" i="26"/>
  <c r="G20" i="26"/>
  <c r="F20" i="26"/>
  <c r="E20" i="26"/>
  <c r="D20" i="26"/>
  <c r="C20" i="26"/>
  <c r="F10" i="26"/>
  <c r="E10" i="26"/>
  <c r="D10" i="26"/>
  <c r="C10" i="26"/>
  <c r="F9" i="26"/>
  <c r="E9" i="26"/>
  <c r="D9" i="26"/>
  <c r="C9" i="26"/>
  <c r="C6" i="26"/>
  <c r="C5" i="26"/>
  <c r="E8" i="26" s="1"/>
  <c r="C4" i="26"/>
  <c r="C21" i="25"/>
  <c r="F168" i="25"/>
  <c r="E168" i="25"/>
  <c r="G168" i="25" s="1"/>
  <c r="D168" i="25"/>
  <c r="C168" i="25"/>
  <c r="F167" i="25"/>
  <c r="E167" i="25"/>
  <c r="G167" i="25" s="1"/>
  <c r="D167" i="25"/>
  <c r="C167" i="25"/>
  <c r="F166" i="25"/>
  <c r="E166" i="25"/>
  <c r="D166" i="25"/>
  <c r="C166" i="25"/>
  <c r="E160" i="25"/>
  <c r="D160" i="25"/>
  <c r="C160" i="25"/>
  <c r="E159" i="25"/>
  <c r="D159" i="25"/>
  <c r="C159" i="25"/>
  <c r="D158" i="25"/>
  <c r="C158" i="25"/>
  <c r="C157" i="25"/>
  <c r="G153" i="25"/>
  <c r="F153" i="25"/>
  <c r="E153" i="25"/>
  <c r="D153" i="25"/>
  <c r="C153" i="25"/>
  <c r="G152" i="25"/>
  <c r="F152" i="25"/>
  <c r="E152" i="25"/>
  <c r="D152" i="25"/>
  <c r="C152" i="25"/>
  <c r="E150" i="25"/>
  <c r="D150" i="25"/>
  <c r="C150" i="25"/>
  <c r="F143" i="25"/>
  <c r="E143" i="25"/>
  <c r="D143" i="25"/>
  <c r="C143" i="25"/>
  <c r="C141" i="25"/>
  <c r="C140" i="25"/>
  <c r="C139" i="25"/>
  <c r="F125" i="25"/>
  <c r="G125" i="25" s="1"/>
  <c r="E125" i="25"/>
  <c r="D125" i="25"/>
  <c r="C125" i="25"/>
  <c r="F124" i="25"/>
  <c r="E124" i="25"/>
  <c r="D124" i="25"/>
  <c r="C124" i="25"/>
  <c r="F123" i="25"/>
  <c r="E123" i="25"/>
  <c r="D123" i="25"/>
  <c r="C123" i="25"/>
  <c r="E117" i="25"/>
  <c r="D117" i="25"/>
  <c r="C117" i="25"/>
  <c r="E116" i="25"/>
  <c r="D116" i="25"/>
  <c r="C116" i="25"/>
  <c r="D115" i="25"/>
  <c r="C115" i="25"/>
  <c r="C114" i="25"/>
  <c r="G110" i="25"/>
  <c r="F110" i="25"/>
  <c r="E110" i="25"/>
  <c r="D110" i="25"/>
  <c r="C110" i="25"/>
  <c r="G109" i="25"/>
  <c r="F109" i="25"/>
  <c r="E109" i="25"/>
  <c r="D109" i="25"/>
  <c r="C109" i="25"/>
  <c r="E107" i="25"/>
  <c r="D107" i="25"/>
  <c r="C107" i="25"/>
  <c r="F99" i="25"/>
  <c r="E99" i="25"/>
  <c r="D99" i="25"/>
  <c r="C99" i="25"/>
  <c r="F98" i="25"/>
  <c r="E98" i="25"/>
  <c r="D98" i="25"/>
  <c r="C98" i="25"/>
  <c r="F97" i="25"/>
  <c r="E97" i="25"/>
  <c r="D97" i="25"/>
  <c r="C95" i="25"/>
  <c r="C94" i="25"/>
  <c r="C97" i="25" s="1"/>
  <c r="C93" i="25"/>
  <c r="F79" i="25"/>
  <c r="E79" i="25"/>
  <c r="D79" i="25"/>
  <c r="C79" i="25"/>
  <c r="F78" i="25"/>
  <c r="E78" i="25"/>
  <c r="D78" i="25"/>
  <c r="C78" i="25"/>
  <c r="F77" i="25"/>
  <c r="E77" i="25"/>
  <c r="D77" i="25"/>
  <c r="C77" i="25"/>
  <c r="E71" i="25"/>
  <c r="D71" i="25"/>
  <c r="C71" i="25"/>
  <c r="E70" i="25"/>
  <c r="D70" i="25"/>
  <c r="C70" i="25"/>
  <c r="D69" i="25"/>
  <c r="C69" i="25"/>
  <c r="C68" i="25"/>
  <c r="G64" i="25"/>
  <c r="F64" i="25"/>
  <c r="E64" i="25"/>
  <c r="D64" i="25"/>
  <c r="C64" i="25"/>
  <c r="G63" i="25"/>
  <c r="F63" i="25"/>
  <c r="E63" i="25"/>
  <c r="D63" i="25"/>
  <c r="C63" i="25"/>
  <c r="F60" i="25"/>
  <c r="E60" i="25"/>
  <c r="D60" i="25"/>
  <c r="C60" i="25"/>
  <c r="F54" i="25"/>
  <c r="E54" i="25"/>
  <c r="D54" i="25"/>
  <c r="C54" i="25"/>
  <c r="C52" i="25"/>
  <c r="C51" i="25"/>
  <c r="C50" i="25"/>
  <c r="F36" i="25"/>
  <c r="E36" i="25"/>
  <c r="D36" i="25"/>
  <c r="C36" i="25"/>
  <c r="F35" i="25"/>
  <c r="E35" i="25"/>
  <c r="D35" i="25"/>
  <c r="C35" i="25"/>
  <c r="F34" i="25"/>
  <c r="E34" i="25"/>
  <c r="D34" i="25"/>
  <c r="C34" i="25"/>
  <c r="E28" i="25"/>
  <c r="D28" i="25"/>
  <c r="C28" i="25"/>
  <c r="E27" i="25"/>
  <c r="D27" i="25"/>
  <c r="C27" i="25"/>
  <c r="D26" i="25"/>
  <c r="C26" i="25"/>
  <c r="C25" i="25"/>
  <c r="G21" i="25"/>
  <c r="F21" i="25"/>
  <c r="E21" i="25"/>
  <c r="D21" i="25"/>
  <c r="G20" i="25"/>
  <c r="F20" i="25"/>
  <c r="E20" i="25"/>
  <c r="D20" i="25"/>
  <c r="C20" i="25"/>
  <c r="F17" i="25"/>
  <c r="E17" i="25"/>
  <c r="D17" i="25"/>
  <c r="C17" i="25"/>
  <c r="F10" i="25"/>
  <c r="E10" i="25"/>
  <c r="D10" i="25"/>
  <c r="C10" i="25"/>
  <c r="F9" i="25"/>
  <c r="E9" i="25"/>
  <c r="D9" i="25"/>
  <c r="C9" i="25"/>
  <c r="C6" i="25"/>
  <c r="C5" i="25"/>
  <c r="D8" i="25" s="1"/>
  <c r="C4" i="25"/>
  <c r="F168" i="24"/>
  <c r="E168" i="24"/>
  <c r="D168" i="24"/>
  <c r="C168" i="24"/>
  <c r="F167" i="24"/>
  <c r="E167" i="24"/>
  <c r="G167" i="24" s="1"/>
  <c r="D167" i="24"/>
  <c r="C167" i="24"/>
  <c r="F166" i="24"/>
  <c r="E166" i="24"/>
  <c r="D166" i="24"/>
  <c r="C166" i="24"/>
  <c r="E160" i="24"/>
  <c r="D160" i="24"/>
  <c r="C160" i="24"/>
  <c r="E159" i="24"/>
  <c r="D159" i="24"/>
  <c r="C159" i="24"/>
  <c r="D158" i="24"/>
  <c r="C158" i="24"/>
  <c r="C157" i="24"/>
  <c r="G153" i="24"/>
  <c r="F153" i="24"/>
  <c r="E153" i="24"/>
  <c r="D153" i="24"/>
  <c r="C153" i="24"/>
  <c r="G152" i="24"/>
  <c r="F152" i="24"/>
  <c r="E152" i="24"/>
  <c r="D152" i="24"/>
  <c r="C152" i="24"/>
  <c r="E150" i="24"/>
  <c r="D150" i="24"/>
  <c r="C150" i="24"/>
  <c r="F143" i="24"/>
  <c r="E143" i="24"/>
  <c r="D143" i="24"/>
  <c r="C143" i="24"/>
  <c r="C141" i="24"/>
  <c r="C140" i="24"/>
  <c r="C139" i="24"/>
  <c r="F125" i="24"/>
  <c r="E125" i="24"/>
  <c r="D125" i="24"/>
  <c r="C125" i="24"/>
  <c r="F124" i="24"/>
  <c r="E124" i="24"/>
  <c r="D124" i="24"/>
  <c r="C124" i="24"/>
  <c r="F123" i="24"/>
  <c r="E123" i="24"/>
  <c r="D123" i="24"/>
  <c r="C123" i="24"/>
  <c r="E117" i="24"/>
  <c r="D117" i="24"/>
  <c r="C117" i="24"/>
  <c r="E116" i="24"/>
  <c r="D116" i="24"/>
  <c r="C116" i="24"/>
  <c r="D115" i="24"/>
  <c r="C115" i="24"/>
  <c r="C114" i="24"/>
  <c r="G110" i="24"/>
  <c r="F110" i="24"/>
  <c r="E110" i="24"/>
  <c r="D110" i="24"/>
  <c r="C110" i="24"/>
  <c r="G109" i="24"/>
  <c r="F109" i="24"/>
  <c r="E109" i="24"/>
  <c r="D109" i="24"/>
  <c r="C109" i="24"/>
  <c r="E107" i="24"/>
  <c r="D107" i="24"/>
  <c r="C107" i="24"/>
  <c r="F99" i="24"/>
  <c r="E99" i="24"/>
  <c r="D99" i="24"/>
  <c r="C99" i="24"/>
  <c r="F98" i="24"/>
  <c r="E98" i="24"/>
  <c r="D98" i="24"/>
  <c r="C98" i="24"/>
  <c r="F97" i="24"/>
  <c r="E97" i="24"/>
  <c r="D97" i="24"/>
  <c r="C95" i="24"/>
  <c r="C94" i="24"/>
  <c r="C97" i="24" s="1"/>
  <c r="C93" i="24"/>
  <c r="F79" i="24"/>
  <c r="E79" i="24"/>
  <c r="D79" i="24"/>
  <c r="C79" i="24"/>
  <c r="F78" i="24"/>
  <c r="E78" i="24"/>
  <c r="D78" i="24"/>
  <c r="C78" i="24"/>
  <c r="F77" i="24"/>
  <c r="E77" i="24"/>
  <c r="D77" i="24"/>
  <c r="C77" i="24"/>
  <c r="E71" i="24"/>
  <c r="D71" i="24"/>
  <c r="C71" i="24"/>
  <c r="E70" i="24"/>
  <c r="D70" i="24"/>
  <c r="C70" i="24"/>
  <c r="D69" i="24"/>
  <c r="C69" i="24"/>
  <c r="C68" i="24"/>
  <c r="G64" i="24"/>
  <c r="F64" i="24"/>
  <c r="E64" i="24"/>
  <c r="D64" i="24"/>
  <c r="C64" i="24"/>
  <c r="G63" i="24"/>
  <c r="F63" i="24"/>
  <c r="E63" i="24"/>
  <c r="D63" i="24"/>
  <c r="C63" i="24"/>
  <c r="F60" i="24"/>
  <c r="E60" i="24"/>
  <c r="D60" i="24"/>
  <c r="C60" i="24"/>
  <c r="F54" i="24"/>
  <c r="E54" i="24"/>
  <c r="D54" i="24"/>
  <c r="C54" i="24"/>
  <c r="C52" i="24"/>
  <c r="C51" i="24"/>
  <c r="C50" i="24"/>
  <c r="F36" i="24"/>
  <c r="E36" i="24"/>
  <c r="D36" i="24"/>
  <c r="C36" i="24"/>
  <c r="F35" i="24"/>
  <c r="E35" i="24"/>
  <c r="D35" i="24"/>
  <c r="C35" i="24"/>
  <c r="F34" i="24"/>
  <c r="E34" i="24"/>
  <c r="D34" i="24"/>
  <c r="C34" i="24"/>
  <c r="E28" i="24"/>
  <c r="D28" i="24"/>
  <c r="C28" i="24"/>
  <c r="E27" i="24"/>
  <c r="D27" i="24"/>
  <c r="C27" i="24"/>
  <c r="D26" i="24"/>
  <c r="C26" i="24"/>
  <c r="C25" i="24"/>
  <c r="G21" i="24"/>
  <c r="F21" i="24"/>
  <c r="E21" i="24"/>
  <c r="D21" i="24"/>
  <c r="C21" i="24"/>
  <c r="G20" i="24"/>
  <c r="F20" i="24"/>
  <c r="E20" i="24"/>
  <c r="D20" i="24"/>
  <c r="C20" i="24"/>
  <c r="F17" i="24"/>
  <c r="E17" i="24"/>
  <c r="D17" i="24"/>
  <c r="C17" i="24"/>
  <c r="F10" i="24"/>
  <c r="E10" i="24"/>
  <c r="D10" i="24"/>
  <c r="C10" i="24"/>
  <c r="F9" i="24"/>
  <c r="E9" i="24"/>
  <c r="D9" i="24"/>
  <c r="C9" i="24"/>
  <c r="C6" i="24"/>
  <c r="C5" i="24"/>
  <c r="E8" i="24" s="1"/>
  <c r="C4" i="24"/>
  <c r="F168" i="23"/>
  <c r="E168" i="23"/>
  <c r="D168" i="23"/>
  <c r="C168" i="23"/>
  <c r="F167" i="23"/>
  <c r="E167" i="23"/>
  <c r="D167" i="23"/>
  <c r="C167" i="23"/>
  <c r="F166" i="23"/>
  <c r="E166" i="23"/>
  <c r="D166" i="23"/>
  <c r="C166" i="23"/>
  <c r="E160" i="23"/>
  <c r="D160" i="23"/>
  <c r="C160" i="23"/>
  <c r="E159" i="23"/>
  <c r="D159" i="23"/>
  <c r="C159" i="23"/>
  <c r="D158" i="23"/>
  <c r="C158" i="23"/>
  <c r="C157" i="23"/>
  <c r="G153" i="23"/>
  <c r="F153" i="23"/>
  <c r="E153" i="23"/>
  <c r="D153" i="23"/>
  <c r="C153" i="23"/>
  <c r="G152" i="23"/>
  <c r="F152" i="23"/>
  <c r="E152" i="23"/>
  <c r="D152" i="23"/>
  <c r="C152" i="23"/>
  <c r="E150" i="23"/>
  <c r="D150" i="23"/>
  <c r="C150" i="23"/>
  <c r="F143" i="23"/>
  <c r="E143" i="23"/>
  <c r="D143" i="23"/>
  <c r="C143" i="23"/>
  <c r="C141" i="23"/>
  <c r="C140" i="23"/>
  <c r="C139" i="23"/>
  <c r="F125" i="23"/>
  <c r="E125" i="23"/>
  <c r="G125" i="23" s="1"/>
  <c r="D125" i="23"/>
  <c r="C125" i="23"/>
  <c r="F124" i="23"/>
  <c r="E124" i="23"/>
  <c r="D124" i="23"/>
  <c r="C124" i="23"/>
  <c r="F123" i="23"/>
  <c r="E123" i="23"/>
  <c r="D123" i="23"/>
  <c r="C123" i="23"/>
  <c r="E117" i="23"/>
  <c r="D117" i="23"/>
  <c r="C117" i="23"/>
  <c r="E116" i="23"/>
  <c r="D116" i="23"/>
  <c r="C116" i="23"/>
  <c r="D115" i="23"/>
  <c r="C115" i="23"/>
  <c r="C114" i="23"/>
  <c r="G110" i="23"/>
  <c r="F110" i="23"/>
  <c r="E110" i="23"/>
  <c r="D110" i="23"/>
  <c r="C110" i="23"/>
  <c r="G109" i="23"/>
  <c r="F109" i="23"/>
  <c r="E109" i="23"/>
  <c r="D109" i="23"/>
  <c r="C109" i="23"/>
  <c r="E107" i="23"/>
  <c r="D107" i="23"/>
  <c r="C107" i="23"/>
  <c r="F99" i="23"/>
  <c r="E99" i="23"/>
  <c r="D99" i="23"/>
  <c r="C99" i="23"/>
  <c r="F98" i="23"/>
  <c r="E98" i="23"/>
  <c r="D98" i="23"/>
  <c r="C98" i="23"/>
  <c r="F97" i="23"/>
  <c r="E97" i="23"/>
  <c r="D97" i="23"/>
  <c r="C95" i="23"/>
  <c r="C94" i="23"/>
  <c r="C97" i="23" s="1"/>
  <c r="C93" i="23"/>
  <c r="F79" i="23"/>
  <c r="E79" i="23"/>
  <c r="D79" i="23"/>
  <c r="C79" i="23"/>
  <c r="F78" i="23"/>
  <c r="E78" i="23"/>
  <c r="G78" i="23" s="1"/>
  <c r="D78" i="23"/>
  <c r="C78" i="23"/>
  <c r="F77" i="23"/>
  <c r="E77" i="23"/>
  <c r="D77" i="23"/>
  <c r="C77" i="23"/>
  <c r="E71" i="23"/>
  <c r="D71" i="23"/>
  <c r="C71" i="23"/>
  <c r="E70" i="23"/>
  <c r="D70" i="23"/>
  <c r="C70" i="23"/>
  <c r="D69" i="23"/>
  <c r="C69" i="23"/>
  <c r="C68" i="23"/>
  <c r="G64" i="23"/>
  <c r="F64" i="23"/>
  <c r="E64" i="23"/>
  <c r="D64" i="23"/>
  <c r="C64" i="23"/>
  <c r="G63" i="23"/>
  <c r="F63" i="23"/>
  <c r="E63" i="23"/>
  <c r="D63" i="23"/>
  <c r="C63" i="23"/>
  <c r="F60" i="23"/>
  <c r="E60" i="23"/>
  <c r="D60" i="23"/>
  <c r="C60" i="23"/>
  <c r="F54" i="23"/>
  <c r="E54" i="23"/>
  <c r="D54" i="23"/>
  <c r="C54" i="23"/>
  <c r="C52" i="23"/>
  <c r="C51" i="23"/>
  <c r="C50" i="23"/>
  <c r="F36" i="23"/>
  <c r="E36" i="23"/>
  <c r="G36" i="23" s="1"/>
  <c r="D36" i="23"/>
  <c r="C36" i="23"/>
  <c r="F35" i="23"/>
  <c r="E35" i="23"/>
  <c r="D35" i="23"/>
  <c r="C35" i="23"/>
  <c r="F34" i="23"/>
  <c r="E34" i="23"/>
  <c r="D34" i="23"/>
  <c r="C34" i="23"/>
  <c r="E28" i="23"/>
  <c r="D28" i="23"/>
  <c r="C28" i="23"/>
  <c r="E27" i="23"/>
  <c r="D27" i="23"/>
  <c r="C27" i="23"/>
  <c r="D26" i="23"/>
  <c r="C26" i="23"/>
  <c r="C25" i="23"/>
  <c r="G21" i="23"/>
  <c r="F21" i="23"/>
  <c r="E21" i="23"/>
  <c r="D21" i="23"/>
  <c r="C21" i="23"/>
  <c r="G20" i="23"/>
  <c r="F20" i="23"/>
  <c r="E20" i="23"/>
  <c r="D20" i="23"/>
  <c r="C20" i="23"/>
  <c r="F17" i="23"/>
  <c r="E17" i="23"/>
  <c r="D17" i="23"/>
  <c r="C17" i="23"/>
  <c r="F10" i="23"/>
  <c r="E10" i="23"/>
  <c r="D10" i="23"/>
  <c r="C10" i="23"/>
  <c r="F9" i="23"/>
  <c r="E9" i="23"/>
  <c r="D9" i="23"/>
  <c r="C9" i="23"/>
  <c r="C6" i="23"/>
  <c r="C5" i="23"/>
  <c r="D8" i="23" s="1"/>
  <c r="C4" i="23"/>
  <c r="F168" i="22"/>
  <c r="E168" i="22"/>
  <c r="D168" i="22"/>
  <c r="C168" i="22"/>
  <c r="F167" i="22"/>
  <c r="E167" i="22"/>
  <c r="G167" i="22" s="1"/>
  <c r="D167" i="22"/>
  <c r="C167" i="22"/>
  <c r="F166" i="22"/>
  <c r="E166" i="22"/>
  <c r="D166" i="22"/>
  <c r="C166" i="22"/>
  <c r="E160" i="22"/>
  <c r="D160" i="22"/>
  <c r="C160" i="22"/>
  <c r="E159" i="22"/>
  <c r="D159" i="22"/>
  <c r="C159" i="22"/>
  <c r="D158" i="22"/>
  <c r="C158" i="22"/>
  <c r="C157" i="22"/>
  <c r="G153" i="22"/>
  <c r="F153" i="22"/>
  <c r="E153" i="22"/>
  <c r="D153" i="22"/>
  <c r="C153" i="22"/>
  <c r="G152" i="22"/>
  <c r="F152" i="22"/>
  <c r="E152" i="22"/>
  <c r="D152" i="22"/>
  <c r="C152" i="22"/>
  <c r="E150" i="22"/>
  <c r="D150" i="22"/>
  <c r="C150" i="22"/>
  <c r="F143" i="22"/>
  <c r="E143" i="22"/>
  <c r="D143" i="22"/>
  <c r="C143" i="22"/>
  <c r="C141" i="22"/>
  <c r="C140" i="22"/>
  <c r="C139" i="22"/>
  <c r="F125" i="22"/>
  <c r="E125" i="22"/>
  <c r="D125" i="22"/>
  <c r="C125" i="22"/>
  <c r="F124" i="22"/>
  <c r="E124" i="22"/>
  <c r="D124" i="22"/>
  <c r="C124" i="22"/>
  <c r="F123" i="22"/>
  <c r="E123" i="22"/>
  <c r="D123" i="22"/>
  <c r="C123" i="22"/>
  <c r="E117" i="22"/>
  <c r="D117" i="22"/>
  <c r="C117" i="22"/>
  <c r="E116" i="22"/>
  <c r="D116" i="22"/>
  <c r="C116" i="22"/>
  <c r="D115" i="22"/>
  <c r="C115" i="22"/>
  <c r="C114" i="22"/>
  <c r="G110" i="22"/>
  <c r="F110" i="22"/>
  <c r="E110" i="22"/>
  <c r="D110" i="22"/>
  <c r="C110" i="22"/>
  <c r="G109" i="22"/>
  <c r="F109" i="22"/>
  <c r="E109" i="22"/>
  <c r="D109" i="22"/>
  <c r="C109" i="22"/>
  <c r="E107" i="22"/>
  <c r="D107" i="22"/>
  <c r="C107" i="22"/>
  <c r="F99" i="22"/>
  <c r="E99" i="22"/>
  <c r="D99" i="22"/>
  <c r="C99" i="22"/>
  <c r="F98" i="22"/>
  <c r="E98" i="22"/>
  <c r="D98" i="22"/>
  <c r="C98" i="22"/>
  <c r="F97" i="22"/>
  <c r="E97" i="22"/>
  <c r="D97" i="22"/>
  <c r="C95" i="22"/>
  <c r="C94" i="22"/>
  <c r="C97" i="22" s="1"/>
  <c r="C93" i="22"/>
  <c r="F79" i="22"/>
  <c r="E79" i="22"/>
  <c r="D79" i="22"/>
  <c r="C79" i="22"/>
  <c r="F78" i="22"/>
  <c r="E78" i="22"/>
  <c r="D78" i="22"/>
  <c r="C78" i="22"/>
  <c r="F77" i="22"/>
  <c r="E77" i="22"/>
  <c r="D77" i="22"/>
  <c r="C77" i="22"/>
  <c r="E71" i="22"/>
  <c r="D71" i="22"/>
  <c r="C71" i="22"/>
  <c r="E70" i="22"/>
  <c r="D70" i="22"/>
  <c r="C70" i="22"/>
  <c r="D69" i="22"/>
  <c r="C69" i="22"/>
  <c r="C68" i="22"/>
  <c r="G64" i="22"/>
  <c r="F64" i="22"/>
  <c r="E64" i="22"/>
  <c r="D64" i="22"/>
  <c r="C64" i="22"/>
  <c r="G63" i="22"/>
  <c r="F63" i="22"/>
  <c r="E63" i="22"/>
  <c r="D63" i="22"/>
  <c r="C63" i="22"/>
  <c r="F60" i="22"/>
  <c r="E60" i="22"/>
  <c r="D60" i="22"/>
  <c r="C60" i="22"/>
  <c r="F54" i="22"/>
  <c r="E54" i="22"/>
  <c r="D54" i="22"/>
  <c r="C54" i="22"/>
  <c r="C52" i="22"/>
  <c r="C51" i="22"/>
  <c r="C50" i="22"/>
  <c r="F36" i="22"/>
  <c r="E36" i="22"/>
  <c r="D36" i="22"/>
  <c r="C36" i="22"/>
  <c r="F35" i="22"/>
  <c r="E35" i="22"/>
  <c r="D35" i="22"/>
  <c r="C35" i="22"/>
  <c r="F34" i="22"/>
  <c r="E34" i="22"/>
  <c r="D34" i="22"/>
  <c r="C34" i="22"/>
  <c r="E28" i="22"/>
  <c r="D28" i="22"/>
  <c r="C28" i="22"/>
  <c r="E27" i="22"/>
  <c r="D27" i="22"/>
  <c r="C27" i="22"/>
  <c r="D26" i="22"/>
  <c r="C26" i="22"/>
  <c r="C25" i="22"/>
  <c r="G21" i="22"/>
  <c r="F21" i="22"/>
  <c r="E21" i="22"/>
  <c r="D21" i="22"/>
  <c r="C21" i="22"/>
  <c r="G20" i="22"/>
  <c r="F20" i="22"/>
  <c r="E20" i="22"/>
  <c r="D20" i="22"/>
  <c r="C20" i="22"/>
  <c r="F17" i="22"/>
  <c r="E17" i="22"/>
  <c r="D17" i="22"/>
  <c r="C17" i="22"/>
  <c r="F10" i="22"/>
  <c r="E10" i="22"/>
  <c r="D10" i="22"/>
  <c r="C10" i="22"/>
  <c r="F9" i="22"/>
  <c r="E9" i="22"/>
  <c r="D9" i="22"/>
  <c r="C9" i="22"/>
  <c r="C6" i="22"/>
  <c r="C5" i="22"/>
  <c r="D8" i="22" s="1"/>
  <c r="C4" i="22"/>
  <c r="F168" i="21"/>
  <c r="E168" i="21"/>
  <c r="D168" i="21"/>
  <c r="C168" i="21"/>
  <c r="F167" i="21"/>
  <c r="E167" i="21"/>
  <c r="D167" i="21"/>
  <c r="C167" i="21"/>
  <c r="F166" i="21"/>
  <c r="E166" i="21"/>
  <c r="D166" i="21"/>
  <c r="C166" i="21"/>
  <c r="E160" i="21"/>
  <c r="D160" i="21"/>
  <c r="C160" i="21"/>
  <c r="E159" i="21"/>
  <c r="D159" i="21"/>
  <c r="C159" i="21"/>
  <c r="D158" i="21"/>
  <c r="C158" i="21"/>
  <c r="C157" i="21"/>
  <c r="G153" i="21"/>
  <c r="F153" i="21"/>
  <c r="E153" i="21"/>
  <c r="D153" i="21"/>
  <c r="C153" i="21"/>
  <c r="G152" i="21"/>
  <c r="F152" i="21"/>
  <c r="E152" i="21"/>
  <c r="D152" i="21"/>
  <c r="C152" i="21"/>
  <c r="E150" i="21"/>
  <c r="D150" i="21"/>
  <c r="C150" i="21"/>
  <c r="F143" i="21"/>
  <c r="E143" i="21"/>
  <c r="D143" i="21"/>
  <c r="C143" i="21"/>
  <c r="C141" i="21"/>
  <c r="C140" i="21"/>
  <c r="C139" i="21"/>
  <c r="F125" i="21"/>
  <c r="E125" i="21"/>
  <c r="G125" i="21" s="1"/>
  <c r="D125" i="21"/>
  <c r="C125" i="21"/>
  <c r="F124" i="21"/>
  <c r="E124" i="21"/>
  <c r="G124" i="21" s="1"/>
  <c r="D124" i="21"/>
  <c r="C124" i="21"/>
  <c r="F123" i="21"/>
  <c r="E123" i="21"/>
  <c r="D123" i="21"/>
  <c r="C123" i="21"/>
  <c r="E117" i="21"/>
  <c r="D117" i="21"/>
  <c r="C117" i="21"/>
  <c r="E116" i="21"/>
  <c r="D116" i="21"/>
  <c r="C116" i="21"/>
  <c r="D115" i="21"/>
  <c r="C115" i="21"/>
  <c r="C114" i="21"/>
  <c r="G110" i="21"/>
  <c r="F110" i="21"/>
  <c r="E110" i="21"/>
  <c r="D110" i="21"/>
  <c r="C110" i="21"/>
  <c r="G109" i="21"/>
  <c r="F109" i="21"/>
  <c r="E109" i="21"/>
  <c r="D109" i="21"/>
  <c r="C109" i="21"/>
  <c r="E107" i="21"/>
  <c r="D107" i="21"/>
  <c r="C107" i="21"/>
  <c r="F99" i="21"/>
  <c r="E99" i="21"/>
  <c r="D99" i="21"/>
  <c r="C99" i="21"/>
  <c r="F98" i="21"/>
  <c r="E98" i="21"/>
  <c r="D98" i="21"/>
  <c r="C98" i="21"/>
  <c r="F97" i="21"/>
  <c r="E97" i="21"/>
  <c r="G97" i="21" s="1"/>
  <c r="D97" i="21"/>
  <c r="C95" i="21"/>
  <c r="C94" i="21"/>
  <c r="C97" i="21" s="1"/>
  <c r="C93" i="21"/>
  <c r="F79" i="21"/>
  <c r="E79" i="21"/>
  <c r="D79" i="21"/>
  <c r="C79" i="21"/>
  <c r="F78" i="21"/>
  <c r="E78" i="21"/>
  <c r="D78" i="21"/>
  <c r="C78" i="21"/>
  <c r="F77" i="21"/>
  <c r="E77" i="21"/>
  <c r="D77" i="21"/>
  <c r="C77" i="21"/>
  <c r="E71" i="21"/>
  <c r="D71" i="21"/>
  <c r="C71" i="21"/>
  <c r="E70" i="21"/>
  <c r="D70" i="21"/>
  <c r="C70" i="21"/>
  <c r="D69" i="21"/>
  <c r="C69" i="21"/>
  <c r="C68" i="21"/>
  <c r="G64" i="21"/>
  <c r="F64" i="21"/>
  <c r="E64" i="21"/>
  <c r="D64" i="21"/>
  <c r="C64" i="21"/>
  <c r="G63" i="21"/>
  <c r="F63" i="21"/>
  <c r="E63" i="21"/>
  <c r="D63" i="21"/>
  <c r="C63" i="21"/>
  <c r="F60" i="21"/>
  <c r="E60" i="21"/>
  <c r="D60" i="21"/>
  <c r="C60" i="21"/>
  <c r="F54" i="21"/>
  <c r="E54" i="21"/>
  <c r="D54" i="21"/>
  <c r="C54" i="21"/>
  <c r="C52" i="21"/>
  <c r="C51" i="21"/>
  <c r="C50" i="21"/>
  <c r="F36" i="21"/>
  <c r="E36" i="21"/>
  <c r="G36" i="21" s="1"/>
  <c r="D36" i="21"/>
  <c r="C36" i="21"/>
  <c r="F35" i="21"/>
  <c r="E35" i="21"/>
  <c r="G35" i="21" s="1"/>
  <c r="D35" i="21"/>
  <c r="C35" i="21"/>
  <c r="F34" i="21"/>
  <c r="E34" i="21"/>
  <c r="D34" i="21"/>
  <c r="C34" i="21"/>
  <c r="E28" i="21"/>
  <c r="D28" i="21"/>
  <c r="C28" i="21"/>
  <c r="E27" i="21"/>
  <c r="D27" i="21"/>
  <c r="C27" i="21"/>
  <c r="D26" i="21"/>
  <c r="C26" i="21"/>
  <c r="C25" i="21"/>
  <c r="G21" i="21"/>
  <c r="F21" i="21"/>
  <c r="E21" i="21"/>
  <c r="D21" i="21"/>
  <c r="C21" i="21"/>
  <c r="G20" i="21"/>
  <c r="F20" i="21"/>
  <c r="E20" i="21"/>
  <c r="D20" i="21"/>
  <c r="C20" i="21"/>
  <c r="F17" i="21"/>
  <c r="E17" i="21"/>
  <c r="D17" i="21"/>
  <c r="C17" i="21"/>
  <c r="F10" i="21"/>
  <c r="E10" i="21"/>
  <c r="D10" i="21"/>
  <c r="C10" i="21"/>
  <c r="F9" i="21"/>
  <c r="E9" i="21"/>
  <c r="D9" i="21"/>
  <c r="C9" i="21"/>
  <c r="C6" i="21"/>
  <c r="C5" i="21"/>
  <c r="E8" i="21" s="1"/>
  <c r="C4" i="21"/>
  <c r="G35" i="24" l="1"/>
  <c r="G167" i="21"/>
  <c r="G78" i="22"/>
  <c r="G124" i="22"/>
  <c r="G125" i="22"/>
  <c r="G36" i="24"/>
  <c r="G97" i="24"/>
  <c r="G35" i="25"/>
  <c r="G36" i="26"/>
  <c r="D19" i="26"/>
  <c r="D29" i="26" s="1"/>
  <c r="G36" i="22"/>
  <c r="G166" i="23"/>
  <c r="G79" i="24"/>
  <c r="D62" i="26"/>
  <c r="D65" i="26" s="1"/>
  <c r="D83" i="26" s="1"/>
  <c r="D55" i="26" s="1"/>
  <c r="F19" i="26"/>
  <c r="F12" i="26" s="1"/>
  <c r="F37" i="26" s="1"/>
  <c r="F38" i="26" s="1"/>
  <c r="G35" i="22"/>
  <c r="G97" i="22"/>
  <c r="G79" i="23"/>
  <c r="G167" i="23"/>
  <c r="G78" i="24"/>
  <c r="G124" i="24"/>
  <c r="G125" i="24"/>
  <c r="G124" i="25"/>
  <c r="G166" i="24"/>
  <c r="G77" i="26"/>
  <c r="E161" i="21"/>
  <c r="G9" i="21"/>
  <c r="G98" i="21"/>
  <c r="G9" i="25"/>
  <c r="G98" i="23"/>
  <c r="G98" i="25"/>
  <c r="G98" i="22"/>
  <c r="G98" i="24"/>
  <c r="G9" i="23"/>
  <c r="G9" i="22"/>
  <c r="G9" i="24"/>
  <c r="G9" i="26"/>
  <c r="E8" i="25"/>
  <c r="C161" i="22"/>
  <c r="E118" i="22"/>
  <c r="C118" i="23"/>
  <c r="E118" i="24"/>
  <c r="C118" i="25"/>
  <c r="E161" i="25"/>
  <c r="C161" i="23"/>
  <c r="C118" i="22"/>
  <c r="E118" i="23"/>
  <c r="C118" i="24"/>
  <c r="C161" i="24"/>
  <c r="C161" i="25"/>
  <c r="C8" i="25"/>
  <c r="F8" i="26"/>
  <c r="G8" i="26" s="1"/>
  <c r="E161" i="22"/>
  <c r="E161" i="23"/>
  <c r="E161" i="24"/>
  <c r="E118" i="25"/>
  <c r="D161" i="21"/>
  <c r="D161" i="22"/>
  <c r="D161" i="24"/>
  <c r="C72" i="26"/>
  <c r="D118" i="23"/>
  <c r="E118" i="21"/>
  <c r="F22" i="26"/>
  <c r="F40" i="26" s="1"/>
  <c r="C8" i="23"/>
  <c r="D8" i="26"/>
  <c r="G79" i="21"/>
  <c r="G168" i="21"/>
  <c r="G168" i="22"/>
  <c r="G36" i="25"/>
  <c r="G97" i="25"/>
  <c r="G168" i="23"/>
  <c r="G168" i="24"/>
  <c r="G79" i="26"/>
  <c r="G79" i="25"/>
  <c r="G79" i="22"/>
  <c r="G78" i="21"/>
  <c r="G35" i="23"/>
  <c r="G97" i="23"/>
  <c r="G124" i="23"/>
  <c r="G78" i="25"/>
  <c r="G34" i="26"/>
  <c r="G166" i="22"/>
  <c r="G166" i="25"/>
  <c r="C118" i="21"/>
  <c r="D161" i="23"/>
  <c r="D118" i="24"/>
  <c r="D118" i="25"/>
  <c r="E72" i="26"/>
  <c r="D118" i="21"/>
  <c r="C161" i="21"/>
  <c r="D118" i="22"/>
  <c r="D161" i="25"/>
  <c r="D72" i="26"/>
  <c r="G60" i="26"/>
  <c r="G61" i="26" s="1"/>
  <c r="G62" i="26" s="1"/>
  <c r="G65" i="26" s="1"/>
  <c r="G83" i="26" s="1"/>
  <c r="E62" i="26"/>
  <c r="E65" i="26" s="1"/>
  <c r="E83" i="26" s="1"/>
  <c r="E55" i="26" s="1"/>
  <c r="C62" i="26"/>
  <c r="C65" i="26" s="1"/>
  <c r="C83" i="26" s="1"/>
  <c r="C55" i="26" s="1"/>
  <c r="C11" i="26"/>
  <c r="G17" i="26"/>
  <c r="G10" i="26" s="1"/>
  <c r="E19" i="26"/>
  <c r="G35" i="26"/>
  <c r="F62" i="26"/>
  <c r="F65" i="26" s="1"/>
  <c r="F83" i="26" s="1"/>
  <c r="G78" i="26"/>
  <c r="C8" i="26"/>
  <c r="C12" i="26"/>
  <c r="C22" i="26"/>
  <c r="C40" i="26" s="1"/>
  <c r="D12" i="26"/>
  <c r="D37" i="26" s="1"/>
  <c r="D38" i="26" s="1"/>
  <c r="F8" i="25"/>
  <c r="G17" i="25"/>
  <c r="G34" i="25"/>
  <c r="G60" i="25"/>
  <c r="G77" i="25"/>
  <c r="G123" i="25"/>
  <c r="F8" i="24"/>
  <c r="G8" i="24" s="1"/>
  <c r="G17" i="24"/>
  <c r="G34" i="24"/>
  <c r="G60" i="24"/>
  <c r="G77" i="24"/>
  <c r="C8" i="24"/>
  <c r="D8" i="24"/>
  <c r="G123" i="24"/>
  <c r="E8" i="23"/>
  <c r="F8" i="23"/>
  <c r="G17" i="23"/>
  <c r="G34" i="23"/>
  <c r="G60" i="23"/>
  <c r="G77" i="23"/>
  <c r="G123" i="23"/>
  <c r="E8" i="22"/>
  <c r="F8" i="22"/>
  <c r="G17" i="22"/>
  <c r="G34" i="22"/>
  <c r="G60" i="22"/>
  <c r="G77" i="22"/>
  <c r="C8" i="22"/>
  <c r="G123" i="22"/>
  <c r="F8" i="21"/>
  <c r="G8" i="21" s="1"/>
  <c r="G17" i="21"/>
  <c r="G34" i="21"/>
  <c r="G60" i="21"/>
  <c r="G54" i="21" s="1"/>
  <c r="G77" i="21"/>
  <c r="C8" i="21"/>
  <c r="D8" i="21"/>
  <c r="G123" i="21"/>
  <c r="G166" i="21"/>
  <c r="J67" i="4"/>
  <c r="J68" i="4" s="1"/>
  <c r="B17" i="4"/>
  <c r="D22" i="26" l="1"/>
  <c r="D40" i="26" s="1"/>
  <c r="F11" i="26"/>
  <c r="D11" i="26"/>
  <c r="G8" i="25"/>
  <c r="G8" i="23"/>
  <c r="F41" i="26"/>
  <c r="F42" i="26" s="1"/>
  <c r="G18" i="26"/>
  <c r="G19" i="26" s="1"/>
  <c r="F69" i="4"/>
  <c r="E80" i="26"/>
  <c r="E84" i="26" s="1"/>
  <c r="E85" i="26" s="1"/>
  <c r="D80" i="26"/>
  <c r="D84" i="26" s="1"/>
  <c r="D85" i="26" s="1"/>
  <c r="G69" i="4"/>
  <c r="G55" i="26"/>
  <c r="D41" i="26"/>
  <c r="D42" i="26" s="1"/>
  <c r="C37" i="26"/>
  <c r="E22" i="26"/>
  <c r="E40" i="26" s="1"/>
  <c r="E11" i="26"/>
  <c r="E29" i="26"/>
  <c r="C30" i="26" s="1"/>
  <c r="F55" i="26"/>
  <c r="E12" i="26"/>
  <c r="E37" i="26" s="1"/>
  <c r="C80" i="26"/>
  <c r="G54" i="25"/>
  <c r="G10" i="25"/>
  <c r="G54" i="24"/>
  <c r="G10" i="24"/>
  <c r="G54" i="23"/>
  <c r="G10" i="23"/>
  <c r="G10" i="22"/>
  <c r="G8" i="22"/>
  <c r="G54" i="22"/>
  <c r="G10" i="21"/>
  <c r="H69" i="4" l="1"/>
  <c r="D81" i="26"/>
  <c r="E81" i="26"/>
  <c r="F80" i="26"/>
  <c r="F84" i="26" s="1"/>
  <c r="F85" i="26" s="1"/>
  <c r="I69" i="4"/>
  <c r="G80" i="26"/>
  <c r="G22" i="26"/>
  <c r="G40" i="26" s="1"/>
  <c r="G11" i="26"/>
  <c r="G12" i="26"/>
  <c r="J69" i="4" s="1"/>
  <c r="C81" i="26"/>
  <c r="C84" i="26"/>
  <c r="C85" i="26" s="1"/>
  <c r="E41" i="26"/>
  <c r="E42" i="26" s="1"/>
  <c r="E38" i="26"/>
  <c r="C41" i="26"/>
  <c r="C42" i="26" s="1"/>
  <c r="C38" i="26"/>
  <c r="F31" i="4"/>
  <c r="F32" i="4" s="1"/>
  <c r="G31" i="4"/>
  <c r="G32" i="4" s="1"/>
  <c r="H31" i="4"/>
  <c r="H32" i="4" s="1"/>
  <c r="J25" i="4"/>
  <c r="F81" i="26" l="1"/>
  <c r="G81" i="26"/>
  <c r="G84" i="26"/>
  <c r="G85" i="26" s="1"/>
  <c r="G37" i="26"/>
  <c r="D97" i="4"/>
  <c r="D96" i="4"/>
  <c r="I31" i="4" l="1"/>
  <c r="I32" i="4" s="1"/>
  <c r="G38" i="26"/>
  <c r="G41" i="26"/>
  <c r="G42" i="26" s="1"/>
  <c r="C63" i="9"/>
  <c r="D153" i="20"/>
  <c r="E153" i="20"/>
  <c r="F153" i="20"/>
  <c r="G153" i="20"/>
  <c r="C153" i="20"/>
  <c r="D110" i="20"/>
  <c r="E110" i="20"/>
  <c r="F110" i="20"/>
  <c r="G110" i="20"/>
  <c r="C110" i="20"/>
  <c r="D64" i="20"/>
  <c r="E64" i="20"/>
  <c r="F64" i="20"/>
  <c r="G64" i="20"/>
  <c r="C64" i="20"/>
  <c r="D21" i="20"/>
  <c r="E21" i="20"/>
  <c r="F21" i="20"/>
  <c r="G21" i="20"/>
  <c r="C21" i="20"/>
  <c r="D64" i="9"/>
  <c r="E64" i="9"/>
  <c r="F64" i="9"/>
  <c r="G64" i="9"/>
  <c r="C64" i="9"/>
  <c r="C21" i="9"/>
  <c r="D58" i="4"/>
  <c r="C68" i="9"/>
  <c r="E26" i="9"/>
  <c r="G84" i="4"/>
  <c r="D21" i="9"/>
  <c r="E21" i="9"/>
  <c r="F21" i="9"/>
  <c r="G21" i="9"/>
  <c r="C20" i="9"/>
  <c r="D158" i="20"/>
  <c r="D159" i="20"/>
  <c r="E159" i="20"/>
  <c r="D160" i="20"/>
  <c r="E160" i="20"/>
  <c r="C160" i="20"/>
  <c r="C159" i="20"/>
  <c r="C158" i="20"/>
  <c r="C157" i="20"/>
  <c r="D115" i="20"/>
  <c r="E115" i="20"/>
  <c r="D116" i="20"/>
  <c r="E116" i="20"/>
  <c r="D117" i="20"/>
  <c r="E117" i="20"/>
  <c r="C117" i="20"/>
  <c r="C116" i="20"/>
  <c r="C115" i="20"/>
  <c r="C114" i="20"/>
  <c r="D69" i="20"/>
  <c r="D70" i="20"/>
  <c r="E70" i="20"/>
  <c r="D71" i="20"/>
  <c r="E71" i="20"/>
  <c r="C71" i="20"/>
  <c r="C70" i="20"/>
  <c r="C69" i="20"/>
  <c r="C68" i="20"/>
  <c r="D26" i="20"/>
  <c r="D27" i="20"/>
  <c r="E27" i="20"/>
  <c r="D28" i="20"/>
  <c r="E28" i="20"/>
  <c r="C28" i="20"/>
  <c r="C27" i="20"/>
  <c r="C26" i="20"/>
  <c r="C25" i="20"/>
  <c r="D71" i="9"/>
  <c r="E71" i="9"/>
  <c r="C71" i="9"/>
  <c r="D69" i="9"/>
  <c r="C69" i="9"/>
  <c r="C167" i="20"/>
  <c r="D167" i="20"/>
  <c r="E167" i="20"/>
  <c r="F167" i="20"/>
  <c r="C168" i="20"/>
  <c r="D168" i="20"/>
  <c r="E168" i="20"/>
  <c r="F168" i="20"/>
  <c r="D166" i="20"/>
  <c r="E166" i="20"/>
  <c r="F166" i="20"/>
  <c r="C166" i="20"/>
  <c r="D70" i="9"/>
  <c r="E70" i="9"/>
  <c r="C70" i="9"/>
  <c r="G152" i="20"/>
  <c r="F152" i="20"/>
  <c r="E152" i="20"/>
  <c r="D152" i="20"/>
  <c r="C152" i="20"/>
  <c r="D150" i="20"/>
  <c r="E150" i="20"/>
  <c r="C150" i="20"/>
  <c r="D143" i="20"/>
  <c r="E143" i="20"/>
  <c r="F143" i="20"/>
  <c r="C143" i="20"/>
  <c r="C141" i="20"/>
  <c r="C140" i="20"/>
  <c r="C139" i="20"/>
  <c r="C124" i="20"/>
  <c r="D124" i="20"/>
  <c r="E124" i="20"/>
  <c r="F124" i="20"/>
  <c r="C125" i="20"/>
  <c r="D125" i="20"/>
  <c r="E125" i="20"/>
  <c r="F125" i="20"/>
  <c r="D123" i="20"/>
  <c r="E123" i="20"/>
  <c r="F123" i="20"/>
  <c r="C123" i="20"/>
  <c r="G109" i="20"/>
  <c r="F109" i="20"/>
  <c r="E109" i="20"/>
  <c r="D109" i="20"/>
  <c r="C109" i="20"/>
  <c r="D107" i="20"/>
  <c r="E107" i="20"/>
  <c r="C107" i="20"/>
  <c r="D99" i="20"/>
  <c r="E99" i="20"/>
  <c r="F99" i="20"/>
  <c r="C99" i="20"/>
  <c r="D98" i="20"/>
  <c r="E98" i="20"/>
  <c r="F98" i="20"/>
  <c r="C98" i="20"/>
  <c r="D97" i="20"/>
  <c r="E97" i="20"/>
  <c r="F97" i="20"/>
  <c r="C95" i="20"/>
  <c r="C94" i="20"/>
  <c r="C97" i="20" s="1"/>
  <c r="C93" i="20"/>
  <c r="F79" i="20"/>
  <c r="E79" i="20"/>
  <c r="D79" i="20"/>
  <c r="C79" i="20"/>
  <c r="F78" i="20"/>
  <c r="E78" i="20"/>
  <c r="D78" i="20"/>
  <c r="C78" i="20"/>
  <c r="F77" i="20"/>
  <c r="E77" i="20"/>
  <c r="D77" i="20"/>
  <c r="C77" i="20"/>
  <c r="G63" i="20"/>
  <c r="F63" i="20"/>
  <c r="E63" i="20"/>
  <c r="D63" i="20"/>
  <c r="C63" i="20"/>
  <c r="F60" i="20"/>
  <c r="E60" i="20"/>
  <c r="D60" i="20"/>
  <c r="C60" i="20"/>
  <c r="F54" i="20"/>
  <c r="E54" i="20"/>
  <c r="D54" i="20"/>
  <c r="C54" i="20"/>
  <c r="C52" i="20"/>
  <c r="C51" i="20"/>
  <c r="C50" i="20"/>
  <c r="F36" i="20"/>
  <c r="E36" i="20"/>
  <c r="D36" i="20"/>
  <c r="C36" i="20"/>
  <c r="F35" i="20"/>
  <c r="E35" i="20"/>
  <c r="D35" i="20"/>
  <c r="C35" i="20"/>
  <c r="F34" i="20"/>
  <c r="E34" i="20"/>
  <c r="D34" i="20"/>
  <c r="C34" i="20"/>
  <c r="G20" i="20"/>
  <c r="F20" i="20"/>
  <c r="E20" i="20"/>
  <c r="D20" i="20"/>
  <c r="C20" i="20"/>
  <c r="F17" i="20"/>
  <c r="E17" i="20"/>
  <c r="D17" i="20"/>
  <c r="C17" i="20"/>
  <c r="F10" i="20"/>
  <c r="E10" i="20"/>
  <c r="D10" i="20"/>
  <c r="C10" i="20"/>
  <c r="F9" i="20"/>
  <c r="E9" i="20"/>
  <c r="D9" i="20"/>
  <c r="C9" i="20"/>
  <c r="C6" i="20"/>
  <c r="C5" i="20"/>
  <c r="E8" i="20" s="1"/>
  <c r="C4" i="20"/>
  <c r="D20" i="9"/>
  <c r="E20" i="9"/>
  <c r="F20" i="9"/>
  <c r="G20" i="9"/>
  <c r="F28" i="4"/>
  <c r="E87" i="4"/>
  <c r="E69" i="9" l="1"/>
  <c r="E69" i="26"/>
  <c r="C73" i="26" s="1"/>
  <c r="E158" i="25"/>
  <c r="C162" i="25" s="1"/>
  <c r="E69" i="23"/>
  <c r="E26" i="23"/>
  <c r="E115" i="22"/>
  <c r="C119" i="22" s="1"/>
  <c r="E115" i="21"/>
  <c r="C119" i="21" s="1"/>
  <c r="E26" i="21"/>
  <c r="E158" i="24"/>
  <c r="C162" i="24" s="1"/>
  <c r="E115" i="23"/>
  <c r="C119" i="23" s="1"/>
  <c r="E158" i="22"/>
  <c r="C162" i="22" s="1"/>
  <c r="E69" i="22"/>
  <c r="E26" i="22"/>
  <c r="E115" i="25"/>
  <c r="C119" i="25" s="1"/>
  <c r="E69" i="25"/>
  <c r="E26" i="25"/>
  <c r="E115" i="24"/>
  <c r="C119" i="24" s="1"/>
  <c r="E69" i="24"/>
  <c r="E26" i="24"/>
  <c r="E158" i="23"/>
  <c r="C162" i="23" s="1"/>
  <c r="E158" i="21"/>
  <c r="C162" i="21" s="1"/>
  <c r="E69" i="21"/>
  <c r="E26" i="20"/>
  <c r="E69" i="20"/>
  <c r="E158" i="20"/>
  <c r="D8" i="20"/>
  <c r="G125" i="20"/>
  <c r="C161" i="20"/>
  <c r="G168" i="20"/>
  <c r="G123" i="20"/>
  <c r="D118" i="20"/>
  <c r="G35" i="20"/>
  <c r="G77" i="20"/>
  <c r="G98" i="20"/>
  <c r="G124" i="20"/>
  <c r="C118" i="20"/>
  <c r="E118" i="20"/>
  <c r="G9" i="20"/>
  <c r="G167" i="20"/>
  <c r="E161" i="20"/>
  <c r="D161" i="20"/>
  <c r="G97" i="20"/>
  <c r="G166" i="20"/>
  <c r="G34" i="20"/>
  <c r="F8" i="20"/>
  <c r="G8" i="20" s="1"/>
  <c r="G78" i="20"/>
  <c r="G79" i="20"/>
  <c r="G17" i="20"/>
  <c r="G10" i="20" s="1"/>
  <c r="G36" i="20"/>
  <c r="C8" i="20"/>
  <c r="G60" i="20"/>
  <c r="C58" i="4"/>
  <c r="E58" i="4"/>
  <c r="B58" i="4"/>
  <c r="F76" i="4" s="1"/>
  <c r="H8" i="4"/>
  <c r="I19" i="4" l="1"/>
  <c r="H19" i="4"/>
  <c r="F77" i="4"/>
  <c r="F75" i="4"/>
  <c r="C119" i="20"/>
  <c r="C162" i="20"/>
  <c r="G54" i="20"/>
  <c r="B59" i="4"/>
  <c r="B57" i="4"/>
  <c r="J8" i="4"/>
  <c r="D63" i="9"/>
  <c r="E63" i="9"/>
  <c r="F63" i="9"/>
  <c r="G63" i="9"/>
  <c r="D18" i="9"/>
  <c r="E18" i="9"/>
  <c r="C18" i="9"/>
  <c r="D61" i="9"/>
  <c r="E61" i="9"/>
  <c r="C61" i="9"/>
  <c r="C72" i="9" s="1"/>
  <c r="C4" i="9"/>
  <c r="F15" i="4"/>
  <c r="G15" i="4"/>
  <c r="H15" i="4"/>
  <c r="I15" i="4"/>
  <c r="F87" i="4"/>
  <c r="G87" i="4"/>
  <c r="C149" i="23" l="1"/>
  <c r="C151" i="23" s="1"/>
  <c r="C154" i="23" s="1"/>
  <c r="C172" i="23" s="1"/>
  <c r="C144" i="23" s="1"/>
  <c r="C169" i="23" s="1"/>
  <c r="C106" i="23"/>
  <c r="C108" i="23" s="1"/>
  <c r="C56" i="26"/>
  <c r="C57" i="26" s="1"/>
  <c r="C13" i="26"/>
  <c r="C14" i="26" s="1"/>
  <c r="F70" i="4"/>
  <c r="C86" i="26"/>
  <c r="C43" i="26"/>
  <c r="E88" i="4"/>
  <c r="B56" i="4"/>
  <c r="D57" i="4"/>
  <c r="C57" i="4"/>
  <c r="E57" i="4"/>
  <c r="D59" i="4"/>
  <c r="E59" i="4"/>
  <c r="E149" i="20" s="1"/>
  <c r="C59" i="4"/>
  <c r="D106" i="20" s="1"/>
  <c r="C149" i="20"/>
  <c r="C151" i="20" s="1"/>
  <c r="C154" i="20" s="1"/>
  <c r="C172" i="20" s="1"/>
  <c r="C106" i="20"/>
  <c r="C108" i="20" s="1"/>
  <c r="B60" i="4"/>
  <c r="C60" i="9"/>
  <c r="C77" i="9"/>
  <c r="J16" i="4"/>
  <c r="E149" i="23" l="1"/>
  <c r="E106" i="23"/>
  <c r="D106" i="23"/>
  <c r="D108" i="23" s="1"/>
  <c r="D149" i="23"/>
  <c r="D151" i="23" s="1"/>
  <c r="D154" i="23" s="1"/>
  <c r="D172" i="23" s="1"/>
  <c r="D144" i="23" s="1"/>
  <c r="C149" i="21"/>
  <c r="C151" i="21" s="1"/>
  <c r="C154" i="21" s="1"/>
  <c r="C172" i="21" s="1"/>
  <c r="C144" i="21" s="1"/>
  <c r="C106" i="21"/>
  <c r="C108" i="21" s="1"/>
  <c r="F149" i="23"/>
  <c r="F151" i="23" s="1"/>
  <c r="F154" i="23" s="1"/>
  <c r="F172" i="23" s="1"/>
  <c r="F144" i="23" s="1"/>
  <c r="F169" i="23" s="1"/>
  <c r="F106" i="23"/>
  <c r="F108" i="23" s="1"/>
  <c r="C111" i="23"/>
  <c r="C129" i="23" s="1"/>
  <c r="C100" i="23"/>
  <c r="C101" i="23"/>
  <c r="C149" i="24"/>
  <c r="C151" i="24" s="1"/>
  <c r="C154" i="24" s="1"/>
  <c r="C172" i="24" s="1"/>
  <c r="C144" i="24" s="1"/>
  <c r="C106" i="24"/>
  <c r="C108" i="24" s="1"/>
  <c r="C170" i="23"/>
  <c r="C173" i="23"/>
  <c r="C174" i="23" s="1"/>
  <c r="E106" i="20"/>
  <c r="E108" i="20" s="1"/>
  <c r="E111" i="20" s="1"/>
  <c r="E129" i="20" s="1"/>
  <c r="J31" i="4"/>
  <c r="J32" i="4" s="1"/>
  <c r="D149" i="20"/>
  <c r="D151" i="20" s="1"/>
  <c r="D154" i="20" s="1"/>
  <c r="D172" i="20" s="1"/>
  <c r="F106" i="20"/>
  <c r="F149" i="20"/>
  <c r="F151" i="20" s="1"/>
  <c r="F154" i="20" s="1"/>
  <c r="F172" i="20" s="1"/>
  <c r="F144" i="20" s="1"/>
  <c r="B55" i="4"/>
  <c r="E56" i="4"/>
  <c r="D56" i="4"/>
  <c r="C56" i="4"/>
  <c r="B61" i="4"/>
  <c r="E60" i="4"/>
  <c r="D60" i="4"/>
  <c r="C60" i="4"/>
  <c r="C111" i="20"/>
  <c r="C129" i="20" s="1"/>
  <c r="C100" i="20"/>
  <c r="F108" i="20"/>
  <c r="F111" i="20" s="1"/>
  <c r="F129" i="20" s="1"/>
  <c r="D108" i="20"/>
  <c r="D111" i="20" s="1"/>
  <c r="D129" i="20" s="1"/>
  <c r="C101" i="20"/>
  <c r="C144" i="20"/>
  <c r="C169" i="20" s="1"/>
  <c r="E151" i="20"/>
  <c r="E154" i="20" s="1"/>
  <c r="E172" i="20" s="1"/>
  <c r="E144" i="20" s="1"/>
  <c r="C78" i="9"/>
  <c r="D78" i="9"/>
  <c r="E78" i="9"/>
  <c r="F78" i="9"/>
  <c r="C79" i="9"/>
  <c r="D79" i="9"/>
  <c r="E79" i="9"/>
  <c r="F79" i="9"/>
  <c r="D77" i="9"/>
  <c r="E77" i="9"/>
  <c r="F77" i="9"/>
  <c r="C34" i="9"/>
  <c r="D60" i="9"/>
  <c r="E60" i="9"/>
  <c r="E62" i="9" s="1"/>
  <c r="E65" i="9" s="1"/>
  <c r="E83" i="9" s="1"/>
  <c r="F60" i="9"/>
  <c r="G54" i="9"/>
  <c r="C9" i="9"/>
  <c r="D54" i="9"/>
  <c r="E54" i="9"/>
  <c r="F54" i="9"/>
  <c r="C54" i="9"/>
  <c r="C52" i="9"/>
  <c r="C51" i="9"/>
  <c r="C50" i="9"/>
  <c r="J26" i="4"/>
  <c r="J27" i="4"/>
  <c r="D94" i="4" l="1"/>
  <c r="D93" i="4"/>
  <c r="E149" i="21"/>
  <c r="E106" i="21"/>
  <c r="E149" i="24"/>
  <c r="E106" i="24"/>
  <c r="C169" i="24"/>
  <c r="F111" i="23"/>
  <c r="F129" i="23" s="1"/>
  <c r="F101" i="23"/>
  <c r="F126" i="23" s="1"/>
  <c r="F100" i="23"/>
  <c r="D169" i="23"/>
  <c r="C149" i="22"/>
  <c r="C151" i="22" s="1"/>
  <c r="C154" i="22" s="1"/>
  <c r="C172" i="22" s="1"/>
  <c r="C144" i="22" s="1"/>
  <c r="C106" i="22"/>
  <c r="C108" i="22" s="1"/>
  <c r="C149" i="25"/>
  <c r="C151" i="25" s="1"/>
  <c r="C154" i="25" s="1"/>
  <c r="C172" i="25" s="1"/>
  <c r="C144" i="25" s="1"/>
  <c r="C106" i="25"/>
  <c r="C108" i="25" s="1"/>
  <c r="F57" i="4"/>
  <c r="C126" i="23"/>
  <c r="F170" i="23"/>
  <c r="F173" i="23"/>
  <c r="F174" i="23" s="1"/>
  <c r="D111" i="23"/>
  <c r="D129" i="23" s="1"/>
  <c r="D100" i="23"/>
  <c r="D101" i="23"/>
  <c r="D106" i="21"/>
  <c r="D108" i="21" s="1"/>
  <c r="D149" i="21"/>
  <c r="D151" i="21" s="1"/>
  <c r="D154" i="21" s="1"/>
  <c r="D172" i="21" s="1"/>
  <c r="D144" i="21" s="1"/>
  <c r="D169" i="21" s="1"/>
  <c r="D149" i="24"/>
  <c r="D151" i="24" s="1"/>
  <c r="D154" i="24" s="1"/>
  <c r="D172" i="24" s="1"/>
  <c r="D144" i="24" s="1"/>
  <c r="D169" i="24" s="1"/>
  <c r="D106" i="24"/>
  <c r="D108" i="24" s="1"/>
  <c r="C111" i="21"/>
  <c r="C129" i="21" s="1"/>
  <c r="C101" i="21"/>
  <c r="C100" i="21"/>
  <c r="E108" i="23"/>
  <c r="G106" i="23"/>
  <c r="G107" i="23" s="1"/>
  <c r="G108" i="23" s="1"/>
  <c r="F149" i="21"/>
  <c r="F151" i="21" s="1"/>
  <c r="F154" i="21" s="1"/>
  <c r="F172" i="21" s="1"/>
  <c r="F144" i="21" s="1"/>
  <c r="F169" i="21" s="1"/>
  <c r="F106" i="21"/>
  <c r="F108" i="21" s="1"/>
  <c r="F149" i="24"/>
  <c r="F151" i="24" s="1"/>
  <c r="F154" i="24" s="1"/>
  <c r="F172" i="24" s="1"/>
  <c r="F144" i="24" s="1"/>
  <c r="F169" i="24" s="1"/>
  <c r="F106" i="24"/>
  <c r="F108" i="24" s="1"/>
  <c r="C111" i="24"/>
  <c r="C129" i="24" s="1"/>
  <c r="C101" i="24"/>
  <c r="C100" i="24"/>
  <c r="C169" i="21"/>
  <c r="E151" i="23"/>
  <c r="E154" i="23" s="1"/>
  <c r="E172" i="23" s="1"/>
  <c r="E144" i="23" s="1"/>
  <c r="E169" i="23" s="1"/>
  <c r="G149" i="23"/>
  <c r="G143" i="23" s="1"/>
  <c r="F59" i="4"/>
  <c r="G106" i="20"/>
  <c r="J28" i="4"/>
  <c r="E55" i="9"/>
  <c r="E61" i="4"/>
  <c r="C61" i="4"/>
  <c r="D61" i="4"/>
  <c r="C55" i="4"/>
  <c r="E55" i="4"/>
  <c r="D55" i="4"/>
  <c r="C126" i="20"/>
  <c r="C127" i="20" s="1"/>
  <c r="F101" i="20"/>
  <c r="F126" i="20" s="1"/>
  <c r="F100" i="20"/>
  <c r="G149" i="20"/>
  <c r="D144" i="20"/>
  <c r="D169" i="20" s="1"/>
  <c r="E169" i="20"/>
  <c r="F169" i="20"/>
  <c r="E100" i="20"/>
  <c r="E101" i="20"/>
  <c r="C173" i="20"/>
  <c r="C174" i="20" s="1"/>
  <c r="C170" i="20"/>
  <c r="D100" i="20"/>
  <c r="D101" i="20"/>
  <c r="G59" i="4" s="1"/>
  <c r="G78" i="9"/>
  <c r="G79" i="9"/>
  <c r="G60" i="9"/>
  <c r="G77" i="9"/>
  <c r="E45" i="4"/>
  <c r="C45" i="4"/>
  <c r="B45" i="4"/>
  <c r="C75" i="4" l="1"/>
  <c r="C76" i="4"/>
  <c r="G99" i="23"/>
  <c r="G101" i="23" s="1"/>
  <c r="C102" i="23" s="1"/>
  <c r="G111" i="23"/>
  <c r="G129" i="23" s="1"/>
  <c r="E149" i="25"/>
  <c r="E106" i="25"/>
  <c r="E111" i="23"/>
  <c r="E129" i="23" s="1"/>
  <c r="E100" i="23"/>
  <c r="E101" i="23"/>
  <c r="E126" i="23" s="1"/>
  <c r="D126" i="23"/>
  <c r="G57" i="4"/>
  <c r="F130" i="23"/>
  <c r="F131" i="23" s="1"/>
  <c r="F127" i="23"/>
  <c r="D106" i="25"/>
  <c r="D108" i="25" s="1"/>
  <c r="D149" i="25"/>
  <c r="D151" i="25" s="1"/>
  <c r="D154" i="25" s="1"/>
  <c r="D172" i="25" s="1"/>
  <c r="D144" i="25" s="1"/>
  <c r="D169" i="25" s="1"/>
  <c r="C173" i="21"/>
  <c r="C174" i="21" s="1"/>
  <c r="C170" i="21"/>
  <c r="F111" i="24"/>
  <c r="F129" i="24" s="1"/>
  <c r="F100" i="24"/>
  <c r="F101" i="24"/>
  <c r="F126" i="24" s="1"/>
  <c r="D173" i="24"/>
  <c r="D174" i="24" s="1"/>
  <c r="D170" i="24"/>
  <c r="C111" i="25"/>
  <c r="C129" i="25" s="1"/>
  <c r="C100" i="25"/>
  <c r="C101" i="25"/>
  <c r="E151" i="24"/>
  <c r="E154" i="24" s="1"/>
  <c r="E172" i="24" s="1"/>
  <c r="E144" i="24" s="1"/>
  <c r="E169" i="24" s="1"/>
  <c r="G149" i="24"/>
  <c r="G150" i="24" s="1"/>
  <c r="G151" i="24" s="1"/>
  <c r="G154" i="24" s="1"/>
  <c r="G172" i="24" s="1"/>
  <c r="F106" i="22"/>
  <c r="F108" i="22" s="1"/>
  <c r="F149" i="22"/>
  <c r="F151" i="22" s="1"/>
  <c r="F154" i="22" s="1"/>
  <c r="F172" i="22" s="1"/>
  <c r="F144" i="22" s="1"/>
  <c r="F169" i="22" s="1"/>
  <c r="G150" i="23"/>
  <c r="G151" i="23" s="1"/>
  <c r="G154" i="23" s="1"/>
  <c r="G172" i="23" s="1"/>
  <c r="G144" i="23" s="1"/>
  <c r="F170" i="24"/>
  <c r="F173" i="24"/>
  <c r="F174" i="24" s="1"/>
  <c r="F60" i="4"/>
  <c r="C126" i="21"/>
  <c r="D170" i="21"/>
  <c r="D173" i="21"/>
  <c r="D174" i="21" s="1"/>
  <c r="C130" i="23"/>
  <c r="C131" i="23" s="1"/>
  <c r="C127" i="23"/>
  <c r="C169" i="25"/>
  <c r="D173" i="23"/>
  <c r="D174" i="23" s="1"/>
  <c r="D170" i="23"/>
  <c r="E108" i="21"/>
  <c r="G106" i="21"/>
  <c r="G99" i="21" s="1"/>
  <c r="E149" i="22"/>
  <c r="E106" i="22"/>
  <c r="F173" i="21"/>
  <c r="F174" i="21" s="1"/>
  <c r="F170" i="21"/>
  <c r="D111" i="24"/>
  <c r="D129" i="24" s="1"/>
  <c r="D101" i="24"/>
  <c r="D100" i="24"/>
  <c r="C169" i="22"/>
  <c r="E108" i="24"/>
  <c r="G106" i="24"/>
  <c r="G99" i="24" s="1"/>
  <c r="F149" i="25"/>
  <c r="F151" i="25" s="1"/>
  <c r="F154" i="25" s="1"/>
  <c r="F172" i="25" s="1"/>
  <c r="F144" i="25" s="1"/>
  <c r="F169" i="25" s="1"/>
  <c r="F106" i="25"/>
  <c r="F108" i="25" s="1"/>
  <c r="D149" i="22"/>
  <c r="D151" i="22" s="1"/>
  <c r="D154" i="22" s="1"/>
  <c r="D172" i="22" s="1"/>
  <c r="D144" i="22" s="1"/>
  <c r="D169" i="22" s="1"/>
  <c r="D106" i="22"/>
  <c r="D108" i="22" s="1"/>
  <c r="E173" i="23"/>
  <c r="E174" i="23" s="1"/>
  <c r="E170" i="23"/>
  <c r="F56" i="4"/>
  <c r="C126" i="24"/>
  <c r="F111" i="21"/>
  <c r="F129" i="21" s="1"/>
  <c r="F100" i="21"/>
  <c r="F101" i="21"/>
  <c r="F126" i="21" s="1"/>
  <c r="D111" i="21"/>
  <c r="D129" i="21" s="1"/>
  <c r="D101" i="21"/>
  <c r="D100" i="21"/>
  <c r="C111" i="22"/>
  <c r="C129" i="22" s="1"/>
  <c r="C101" i="22"/>
  <c r="C100" i="22"/>
  <c r="C173" i="24"/>
  <c r="C174" i="24" s="1"/>
  <c r="C170" i="24"/>
  <c r="E151" i="21"/>
  <c r="E154" i="21" s="1"/>
  <c r="E172" i="21" s="1"/>
  <c r="E144" i="21" s="1"/>
  <c r="E169" i="21" s="1"/>
  <c r="G149" i="21"/>
  <c r="C130" i="20"/>
  <c r="C131" i="20" s="1"/>
  <c r="B62" i="4"/>
  <c r="B49" i="4"/>
  <c r="E126" i="20"/>
  <c r="E127" i="20" s="1"/>
  <c r="D126" i="20"/>
  <c r="F173" i="20"/>
  <c r="F174" i="20" s="1"/>
  <c r="F170" i="20"/>
  <c r="G107" i="20"/>
  <c r="G108" i="20" s="1"/>
  <c r="G111" i="20" s="1"/>
  <c r="G129" i="20" s="1"/>
  <c r="G99" i="20"/>
  <c r="B44" i="4"/>
  <c r="B46" i="4"/>
  <c r="E173" i="20"/>
  <c r="E174" i="20" s="1"/>
  <c r="E170" i="20"/>
  <c r="G150" i="20"/>
  <c r="G151" i="20" s="1"/>
  <c r="G154" i="20" s="1"/>
  <c r="G172" i="20" s="1"/>
  <c r="G143" i="20"/>
  <c r="F127" i="20"/>
  <c r="F130" i="20"/>
  <c r="F131" i="20" s="1"/>
  <c r="D173" i="20"/>
  <c r="D174" i="20" s="1"/>
  <c r="D170" i="20"/>
  <c r="G100" i="23" l="1"/>
  <c r="G143" i="24"/>
  <c r="G144" i="24" s="1"/>
  <c r="G169" i="24" s="1"/>
  <c r="G169" i="23"/>
  <c r="C145" i="23"/>
  <c r="C146" i="23" s="1"/>
  <c r="G150" i="21"/>
  <c r="G151" i="21" s="1"/>
  <c r="G154" i="21" s="1"/>
  <c r="G172" i="21" s="1"/>
  <c r="D126" i="21"/>
  <c r="G60" i="4"/>
  <c r="D126" i="24"/>
  <c r="G56" i="4"/>
  <c r="E108" i="22"/>
  <c r="G106" i="22"/>
  <c r="G99" i="22" s="1"/>
  <c r="E111" i="21"/>
  <c r="E129" i="21" s="1"/>
  <c r="E100" i="21"/>
  <c r="E101" i="21"/>
  <c r="E126" i="21" s="1"/>
  <c r="E151" i="25"/>
  <c r="E154" i="25" s="1"/>
  <c r="E172" i="25" s="1"/>
  <c r="E144" i="25" s="1"/>
  <c r="E169" i="25" s="1"/>
  <c r="G149" i="25"/>
  <c r="G143" i="25" s="1"/>
  <c r="E173" i="21"/>
  <c r="E174" i="21" s="1"/>
  <c r="E170" i="21"/>
  <c r="F170" i="22"/>
  <c r="F173" i="22"/>
  <c r="F174" i="22" s="1"/>
  <c r="F130" i="24"/>
  <c r="F131" i="24" s="1"/>
  <c r="F127" i="24"/>
  <c r="E46" i="4"/>
  <c r="C46" i="4"/>
  <c r="F130" i="21"/>
  <c r="F131" i="21" s="1"/>
  <c r="F127" i="21"/>
  <c r="C127" i="24"/>
  <c r="C130" i="24"/>
  <c r="C131" i="24" s="1"/>
  <c r="D111" i="22"/>
  <c r="D129" i="22" s="1"/>
  <c r="D100" i="22"/>
  <c r="D101" i="22"/>
  <c r="G107" i="24"/>
  <c r="G108" i="24" s="1"/>
  <c r="C170" i="22"/>
  <c r="C173" i="22"/>
  <c r="C174" i="22" s="1"/>
  <c r="F111" i="22"/>
  <c r="F129" i="22" s="1"/>
  <c r="F100" i="22"/>
  <c r="F101" i="22"/>
  <c r="F126" i="22" s="1"/>
  <c r="E173" i="24"/>
  <c r="E174" i="24" s="1"/>
  <c r="E170" i="24"/>
  <c r="C103" i="23"/>
  <c r="D173" i="25"/>
  <c r="D174" i="25" s="1"/>
  <c r="D170" i="25"/>
  <c r="F111" i="25"/>
  <c r="F129" i="25" s="1"/>
  <c r="F101" i="25"/>
  <c r="F126" i="25" s="1"/>
  <c r="F100" i="25"/>
  <c r="E111" i="24"/>
  <c r="E129" i="24" s="1"/>
  <c r="E100" i="24"/>
  <c r="E101" i="24"/>
  <c r="E126" i="24" s="1"/>
  <c r="E130" i="23"/>
  <c r="E131" i="23" s="1"/>
  <c r="E127" i="23"/>
  <c r="F61" i="4"/>
  <c r="C126" i="22"/>
  <c r="F173" i="25"/>
  <c r="F174" i="25" s="1"/>
  <c r="F170" i="25"/>
  <c r="E151" i="22"/>
  <c r="E154" i="22" s="1"/>
  <c r="E172" i="22" s="1"/>
  <c r="E144" i="22" s="1"/>
  <c r="E169" i="22" s="1"/>
  <c r="G149" i="22"/>
  <c r="G143" i="22" s="1"/>
  <c r="C170" i="25"/>
  <c r="C173" i="25"/>
  <c r="C174" i="25" s="1"/>
  <c r="B43" i="4"/>
  <c r="E44" i="4"/>
  <c r="C18" i="23"/>
  <c r="C61" i="23"/>
  <c r="C44" i="4"/>
  <c r="G143" i="21"/>
  <c r="D173" i="22"/>
  <c r="D174" i="22" s="1"/>
  <c r="D170" i="22"/>
  <c r="G107" i="21"/>
  <c r="G108" i="21" s="1"/>
  <c r="C127" i="21"/>
  <c r="C130" i="21"/>
  <c r="C131" i="21" s="1"/>
  <c r="C126" i="25"/>
  <c r="F55" i="4"/>
  <c r="D111" i="25"/>
  <c r="D129" i="25" s="1"/>
  <c r="D100" i="25"/>
  <c r="D101" i="25"/>
  <c r="D130" i="23"/>
  <c r="D131" i="23" s="1"/>
  <c r="D127" i="23"/>
  <c r="E108" i="25"/>
  <c r="G106" i="25"/>
  <c r="G99" i="25" s="1"/>
  <c r="H57" i="4"/>
  <c r="G126" i="23"/>
  <c r="E130" i="20"/>
  <c r="E131" i="20" s="1"/>
  <c r="G100" i="20"/>
  <c r="G101" i="20"/>
  <c r="G144" i="20"/>
  <c r="C18" i="20"/>
  <c r="C61" i="20"/>
  <c r="B47" i="4"/>
  <c r="D127" i="20"/>
  <c r="D130" i="20"/>
  <c r="D131" i="20" s="1"/>
  <c r="H59" i="4" l="1"/>
  <c r="G150" i="25"/>
  <c r="G151" i="25" s="1"/>
  <c r="G154" i="25" s="1"/>
  <c r="G172" i="25" s="1"/>
  <c r="G144" i="25" s="1"/>
  <c r="G169" i="25" s="1"/>
  <c r="G144" i="21"/>
  <c r="C145" i="21" s="1"/>
  <c r="C146" i="21" s="1"/>
  <c r="C145" i="24"/>
  <c r="C146" i="24" s="1"/>
  <c r="I57" i="4"/>
  <c r="G107" i="22"/>
  <c r="G108" i="22" s="1"/>
  <c r="G100" i="22" s="1"/>
  <c r="D126" i="25"/>
  <c r="G55" i="4"/>
  <c r="B48" i="4"/>
  <c r="C47" i="4"/>
  <c r="C61" i="21"/>
  <c r="E47" i="4"/>
  <c r="C18" i="21"/>
  <c r="G101" i="21"/>
  <c r="G111" i="21"/>
  <c r="G129" i="21" s="1"/>
  <c r="G100" i="21"/>
  <c r="C29" i="23"/>
  <c r="C19" i="23"/>
  <c r="G107" i="25"/>
  <c r="G108" i="25" s="1"/>
  <c r="E61" i="23"/>
  <c r="E18" i="23"/>
  <c r="G150" i="22"/>
  <c r="G151" i="22" s="1"/>
  <c r="G154" i="22" s="1"/>
  <c r="G172" i="22" s="1"/>
  <c r="G144" i="22" s="1"/>
  <c r="G100" i="24"/>
  <c r="G111" i="24"/>
  <c r="G129" i="24" s="1"/>
  <c r="G101" i="24"/>
  <c r="D61" i="20"/>
  <c r="D18" i="20"/>
  <c r="E111" i="22"/>
  <c r="E129" i="22" s="1"/>
  <c r="E100" i="22"/>
  <c r="E101" i="22"/>
  <c r="E126" i="22" s="1"/>
  <c r="D130" i="21"/>
  <c r="D131" i="21" s="1"/>
  <c r="D127" i="21"/>
  <c r="G173" i="24"/>
  <c r="G174" i="24" s="1"/>
  <c r="C175" i="24" s="1"/>
  <c r="G170" i="24"/>
  <c r="D18" i="23"/>
  <c r="D61" i="23"/>
  <c r="B42" i="4"/>
  <c r="E43" i="4"/>
  <c r="E18" i="24" s="1"/>
  <c r="C18" i="24"/>
  <c r="C61" i="24"/>
  <c r="C43" i="4"/>
  <c r="D18" i="24" s="1"/>
  <c r="D126" i="22"/>
  <c r="G61" i="4"/>
  <c r="E173" i="25"/>
  <c r="E174" i="25" s="1"/>
  <c r="E170" i="25"/>
  <c r="G127" i="23"/>
  <c r="G130" i="23"/>
  <c r="G131" i="23" s="1"/>
  <c r="C132" i="23" s="1"/>
  <c r="E111" i="25"/>
  <c r="E129" i="25" s="1"/>
  <c r="E101" i="25"/>
  <c r="E126" i="25" s="1"/>
  <c r="E100" i="25"/>
  <c r="C127" i="25"/>
  <c r="C130" i="25"/>
  <c r="C131" i="25" s="1"/>
  <c r="C72" i="23"/>
  <c r="C62" i="23"/>
  <c r="C65" i="23" s="1"/>
  <c r="C83" i="23" s="1"/>
  <c r="C55" i="23" s="1"/>
  <c r="E173" i="22"/>
  <c r="E174" i="22" s="1"/>
  <c r="E170" i="22"/>
  <c r="C127" i="22"/>
  <c r="C130" i="22"/>
  <c r="C131" i="22" s="1"/>
  <c r="E130" i="24"/>
  <c r="E131" i="24" s="1"/>
  <c r="E127" i="24"/>
  <c r="F130" i="25"/>
  <c r="F131" i="25" s="1"/>
  <c r="F127" i="25"/>
  <c r="F130" i="22"/>
  <c r="F131" i="22" s="1"/>
  <c r="F127" i="22"/>
  <c r="E130" i="21"/>
  <c r="E131" i="21" s="1"/>
  <c r="E127" i="21"/>
  <c r="D127" i="24"/>
  <c r="D130" i="24"/>
  <c r="D131" i="24" s="1"/>
  <c r="G170" i="23"/>
  <c r="G173" i="23"/>
  <c r="G174" i="23" s="1"/>
  <c r="C175" i="23" s="1"/>
  <c r="C102" i="20"/>
  <c r="E18" i="20"/>
  <c r="E61" i="20"/>
  <c r="C72" i="20"/>
  <c r="C62" i="20"/>
  <c r="C65" i="20" s="1"/>
  <c r="C83" i="20" s="1"/>
  <c r="G126" i="20"/>
  <c r="C29" i="20"/>
  <c r="C19" i="20"/>
  <c r="C22" i="20" s="1"/>
  <c r="C40" i="20" s="1"/>
  <c r="C145" i="20"/>
  <c r="C146" i="20" s="1"/>
  <c r="G169" i="20"/>
  <c r="G169" i="21" l="1"/>
  <c r="G170" i="21" s="1"/>
  <c r="C145" i="25"/>
  <c r="C146" i="25" s="1"/>
  <c r="G111" i="22"/>
  <c r="G129" i="22" s="1"/>
  <c r="G101" i="22"/>
  <c r="C102" i="22" s="1"/>
  <c r="J57" i="4"/>
  <c r="K57" i="4" s="1"/>
  <c r="E61" i="24"/>
  <c r="E72" i="24" s="1"/>
  <c r="C42" i="4"/>
  <c r="D18" i="25" s="1"/>
  <c r="C61" i="25"/>
  <c r="E42" i="4"/>
  <c r="E61" i="25" s="1"/>
  <c r="C18" i="25"/>
  <c r="G169" i="22"/>
  <c r="C145" i="22"/>
  <c r="C146" i="22" s="1"/>
  <c r="G111" i="25"/>
  <c r="G129" i="25" s="1"/>
  <c r="G101" i="25"/>
  <c r="G100" i="25"/>
  <c r="D61" i="21"/>
  <c r="D18" i="21"/>
  <c r="C72" i="24"/>
  <c r="C62" i="24"/>
  <c r="C65" i="24" s="1"/>
  <c r="C83" i="24" s="1"/>
  <c r="C55" i="24" s="1"/>
  <c r="C80" i="24" s="1"/>
  <c r="F61" i="23"/>
  <c r="F62" i="23" s="1"/>
  <c r="F65" i="23" s="1"/>
  <c r="F83" i="23" s="1"/>
  <c r="F55" i="23" s="1"/>
  <c r="F80" i="23" s="1"/>
  <c r="D72" i="23"/>
  <c r="D62" i="23"/>
  <c r="D65" i="23" s="1"/>
  <c r="D83" i="23" s="1"/>
  <c r="D55" i="23" s="1"/>
  <c r="D80" i="23" s="1"/>
  <c r="H56" i="4"/>
  <c r="G126" i="24"/>
  <c r="C102" i="24"/>
  <c r="E29" i="23"/>
  <c r="E19" i="23"/>
  <c r="C19" i="21"/>
  <c r="C29" i="21"/>
  <c r="C18" i="22"/>
  <c r="C48" i="4"/>
  <c r="C61" i="22"/>
  <c r="E48" i="4"/>
  <c r="D61" i="24"/>
  <c r="F61" i="24" s="1"/>
  <c r="C80" i="23"/>
  <c r="H61" i="4"/>
  <c r="C29" i="24"/>
  <c r="C19" i="24"/>
  <c r="F18" i="23"/>
  <c r="F19" i="23" s="1"/>
  <c r="D19" i="23"/>
  <c r="D29" i="23"/>
  <c r="F18" i="20"/>
  <c r="F19" i="20" s="1"/>
  <c r="D19" i="20"/>
  <c r="D29" i="20"/>
  <c r="E72" i="23"/>
  <c r="E62" i="23"/>
  <c r="E65" i="23" s="1"/>
  <c r="E83" i="23" s="1"/>
  <c r="E55" i="23" s="1"/>
  <c r="E80" i="23" s="1"/>
  <c r="G170" i="25"/>
  <c r="G173" i="25"/>
  <c r="G174" i="25" s="1"/>
  <c r="C175" i="25" s="1"/>
  <c r="E18" i="21"/>
  <c r="E61" i="21"/>
  <c r="E130" i="25"/>
  <c r="E131" i="25" s="1"/>
  <c r="E127" i="25"/>
  <c r="D130" i="22"/>
  <c r="D131" i="22" s="1"/>
  <c r="D127" i="22"/>
  <c r="E130" i="22"/>
  <c r="E131" i="22" s="1"/>
  <c r="E127" i="22"/>
  <c r="F61" i="20"/>
  <c r="F62" i="20" s="1"/>
  <c r="F65" i="20" s="1"/>
  <c r="F83" i="20" s="1"/>
  <c r="F55" i="20" s="1"/>
  <c r="F80" i="20" s="1"/>
  <c r="F81" i="20" s="1"/>
  <c r="D72" i="20"/>
  <c r="D62" i="20"/>
  <c r="D65" i="20" s="1"/>
  <c r="D83" i="20" s="1"/>
  <c r="D55" i="20" s="1"/>
  <c r="D80" i="20" s="1"/>
  <c r="D81" i="20" s="1"/>
  <c r="C22" i="23"/>
  <c r="C40" i="23" s="1"/>
  <c r="C11" i="23"/>
  <c r="C12" i="23"/>
  <c r="H60" i="4"/>
  <c r="G126" i="21"/>
  <c r="C102" i="21"/>
  <c r="C62" i="21"/>
  <c r="C65" i="21" s="1"/>
  <c r="C83" i="21" s="1"/>
  <c r="C55" i="21" s="1"/>
  <c r="C80" i="21" s="1"/>
  <c r="C72" i="21"/>
  <c r="D127" i="25"/>
  <c r="D130" i="25"/>
  <c r="D131" i="25" s="1"/>
  <c r="E29" i="24"/>
  <c r="E19" i="24"/>
  <c r="D19" i="24"/>
  <c r="F18" i="24"/>
  <c r="D29" i="24"/>
  <c r="C103" i="20"/>
  <c r="I59" i="4"/>
  <c r="G130" i="20"/>
  <c r="G131" i="20" s="1"/>
  <c r="C132" i="20" s="1"/>
  <c r="G127" i="20"/>
  <c r="C11" i="20"/>
  <c r="C12" i="20"/>
  <c r="E72" i="20"/>
  <c r="E62" i="20"/>
  <c r="E65" i="20" s="1"/>
  <c r="E83" i="20" s="1"/>
  <c r="E55" i="20" s="1"/>
  <c r="E19" i="20"/>
  <c r="E22" i="20" s="1"/>
  <c r="E40" i="20" s="1"/>
  <c r="E29" i="20"/>
  <c r="G170" i="20"/>
  <c r="G173" i="20"/>
  <c r="G174" i="20" s="1"/>
  <c r="C175" i="20" s="1"/>
  <c r="C55" i="20"/>
  <c r="E36" i="9"/>
  <c r="F36" i="9"/>
  <c r="E35" i="9"/>
  <c r="F35" i="9"/>
  <c r="E34" i="9"/>
  <c r="F34" i="9"/>
  <c r="E17" i="9"/>
  <c r="F17" i="9"/>
  <c r="E10" i="9"/>
  <c r="F10" i="9"/>
  <c r="E9" i="9"/>
  <c r="F9" i="9"/>
  <c r="F62" i="9"/>
  <c r="C62" i="9"/>
  <c r="C65" i="9" s="1"/>
  <c r="C83" i="9" s="1"/>
  <c r="C55" i="9" s="1"/>
  <c r="H28" i="4"/>
  <c r="I28" i="4"/>
  <c r="C6" i="9"/>
  <c r="F46" i="4" l="1"/>
  <c r="D61" i="25"/>
  <c r="D62" i="25" s="1"/>
  <c r="D65" i="25" s="1"/>
  <c r="D83" i="25" s="1"/>
  <c r="D55" i="25" s="1"/>
  <c r="G173" i="21"/>
  <c r="G174" i="21" s="1"/>
  <c r="C175" i="21" s="1"/>
  <c r="G126" i="22"/>
  <c r="G127" i="22" s="1"/>
  <c r="F84" i="20"/>
  <c r="F85" i="20" s="1"/>
  <c r="C73" i="20"/>
  <c r="E62" i="24"/>
  <c r="E65" i="24" s="1"/>
  <c r="E83" i="24" s="1"/>
  <c r="E55" i="24" s="1"/>
  <c r="E80" i="24" s="1"/>
  <c r="E84" i="24" s="1"/>
  <c r="E85" i="24" s="1"/>
  <c r="D72" i="24"/>
  <c r="C73" i="24" s="1"/>
  <c r="C30" i="23"/>
  <c r="G18" i="23"/>
  <c r="G19" i="23" s="1"/>
  <c r="G12" i="23" s="1"/>
  <c r="E18" i="25"/>
  <c r="E29" i="25" s="1"/>
  <c r="G18" i="20"/>
  <c r="G19" i="20" s="1"/>
  <c r="G22" i="20" s="1"/>
  <c r="G40" i="20" s="1"/>
  <c r="C30" i="20"/>
  <c r="G61" i="20"/>
  <c r="G62" i="20" s="1"/>
  <c r="G65" i="20" s="1"/>
  <c r="G83" i="20" s="1"/>
  <c r="G55" i="20" s="1"/>
  <c r="D62" i="24"/>
  <c r="D65" i="24" s="1"/>
  <c r="D83" i="24" s="1"/>
  <c r="D55" i="24" s="1"/>
  <c r="D80" i="24" s="1"/>
  <c r="C73" i="23"/>
  <c r="I56" i="4"/>
  <c r="C103" i="24"/>
  <c r="H55" i="4"/>
  <c r="G126" i="25"/>
  <c r="C102" i="25"/>
  <c r="D84" i="20"/>
  <c r="D85" i="20" s="1"/>
  <c r="F44" i="4"/>
  <c r="C37" i="23"/>
  <c r="D12" i="23"/>
  <c r="D22" i="23"/>
  <c r="D40" i="23" s="1"/>
  <c r="D11" i="23"/>
  <c r="I61" i="4"/>
  <c r="C103" i="22"/>
  <c r="C81" i="23"/>
  <c r="C84" i="23"/>
  <c r="C85" i="23" s="1"/>
  <c r="G130" i="24"/>
  <c r="G131" i="24" s="1"/>
  <c r="C132" i="24" s="1"/>
  <c r="J56" i="4" s="1"/>
  <c r="K56" i="4" s="1"/>
  <c r="G127" i="24"/>
  <c r="F81" i="23"/>
  <c r="F84" i="23"/>
  <c r="F85" i="23" s="1"/>
  <c r="D19" i="21"/>
  <c r="F18" i="21"/>
  <c r="D29" i="21"/>
  <c r="C103" i="21"/>
  <c r="I60" i="4"/>
  <c r="E72" i="21"/>
  <c r="E62" i="21"/>
  <c r="E65" i="21" s="1"/>
  <c r="E83" i="21" s="1"/>
  <c r="E55" i="21" s="1"/>
  <c r="E80" i="21" s="1"/>
  <c r="G61" i="23"/>
  <c r="G62" i="23" s="1"/>
  <c r="G65" i="23" s="1"/>
  <c r="G83" i="23" s="1"/>
  <c r="G55" i="23" s="1"/>
  <c r="D22" i="20"/>
  <c r="D40" i="20" s="1"/>
  <c r="D12" i="20"/>
  <c r="D11" i="20"/>
  <c r="F12" i="23"/>
  <c r="F37" i="23" s="1"/>
  <c r="F11" i="23"/>
  <c r="F22" i="23"/>
  <c r="F40" i="23" s="1"/>
  <c r="C29" i="22"/>
  <c r="C19" i="22"/>
  <c r="E12" i="23"/>
  <c r="E37" i="23" s="1"/>
  <c r="E22" i="23"/>
  <c r="E40" i="23" s="1"/>
  <c r="E11" i="23"/>
  <c r="C84" i="24"/>
  <c r="C85" i="24" s="1"/>
  <c r="C81" i="24"/>
  <c r="F61" i="21"/>
  <c r="D62" i="21"/>
  <c r="D65" i="21" s="1"/>
  <c r="D83" i="21" s="1"/>
  <c r="D55" i="21" s="1"/>
  <c r="D80" i="21" s="1"/>
  <c r="D84" i="21" s="1"/>
  <c r="D85" i="21" s="1"/>
  <c r="D72" i="21"/>
  <c r="C72" i="25"/>
  <c r="C62" i="25"/>
  <c r="C65" i="25" s="1"/>
  <c r="C83" i="25" s="1"/>
  <c r="C55" i="25" s="1"/>
  <c r="C80" i="25" s="1"/>
  <c r="C72" i="22"/>
  <c r="C62" i="22"/>
  <c r="C65" i="22" s="1"/>
  <c r="C83" i="22" s="1"/>
  <c r="C55" i="22" s="1"/>
  <c r="C80" i="22" s="1"/>
  <c r="C22" i="21"/>
  <c r="C40" i="21" s="1"/>
  <c r="C11" i="21"/>
  <c r="C12" i="21"/>
  <c r="C29" i="25"/>
  <c r="C19" i="25"/>
  <c r="C81" i="21"/>
  <c r="C84" i="21"/>
  <c r="C85" i="21" s="1"/>
  <c r="G127" i="21"/>
  <c r="G130" i="21"/>
  <c r="G131" i="21" s="1"/>
  <c r="C132" i="21" s="1"/>
  <c r="E29" i="21"/>
  <c r="E19" i="21"/>
  <c r="E81" i="23"/>
  <c r="E84" i="23"/>
  <c r="E85" i="23" s="1"/>
  <c r="F22" i="20"/>
  <c r="F40" i="20" s="1"/>
  <c r="F11" i="20"/>
  <c r="F12" i="20"/>
  <c r="F37" i="20" s="1"/>
  <c r="C22" i="24"/>
  <c r="C40" i="24" s="1"/>
  <c r="C12" i="24"/>
  <c r="C11" i="24"/>
  <c r="E61" i="22"/>
  <c r="E18" i="22"/>
  <c r="D81" i="23"/>
  <c r="D84" i="23"/>
  <c r="D85" i="23" s="1"/>
  <c r="G170" i="22"/>
  <c r="G173" i="22"/>
  <c r="G174" i="22" s="1"/>
  <c r="C175" i="22" s="1"/>
  <c r="J59" i="4"/>
  <c r="K59" i="4" s="1"/>
  <c r="C30" i="24"/>
  <c r="E22" i="24"/>
  <c r="E40" i="24" s="1"/>
  <c r="E11" i="24"/>
  <c r="E12" i="24"/>
  <c r="E37" i="24" s="1"/>
  <c r="E72" i="25"/>
  <c r="E62" i="25"/>
  <c r="E65" i="25" s="1"/>
  <c r="E83" i="25" s="1"/>
  <c r="E55" i="25" s="1"/>
  <c r="E80" i="25" s="1"/>
  <c r="G18" i="24"/>
  <c r="G19" i="24" s="1"/>
  <c r="F19" i="24"/>
  <c r="D22" i="24"/>
  <c r="D40" i="24" s="1"/>
  <c r="D11" i="24"/>
  <c r="D12" i="24"/>
  <c r="F62" i="24"/>
  <c r="F65" i="24" s="1"/>
  <c r="F83" i="24" s="1"/>
  <c r="F55" i="24" s="1"/>
  <c r="F80" i="24" s="1"/>
  <c r="G61" i="24"/>
  <c r="G62" i="24" s="1"/>
  <c r="G65" i="24" s="1"/>
  <c r="G83" i="24" s="1"/>
  <c r="G55" i="24" s="1"/>
  <c r="G80" i="24" s="1"/>
  <c r="F18" i="25"/>
  <c r="D19" i="25"/>
  <c r="D29" i="25"/>
  <c r="F65" i="9"/>
  <c r="F83" i="9" s="1"/>
  <c r="F55" i="9" s="1"/>
  <c r="C37" i="20"/>
  <c r="C80" i="20"/>
  <c r="E80" i="20"/>
  <c r="E11" i="20"/>
  <c r="E12" i="20"/>
  <c r="G9" i="9"/>
  <c r="G17" i="9"/>
  <c r="G18" i="9" s="1"/>
  <c r="F19" i="9"/>
  <c r="E19" i="9"/>
  <c r="G35" i="9"/>
  <c r="G36" i="9"/>
  <c r="G34" i="9"/>
  <c r="D10" i="9"/>
  <c r="C10" i="9"/>
  <c r="D9" i="9"/>
  <c r="C5" i="9"/>
  <c r="C8" i="9" s="1"/>
  <c r="D72" i="25" l="1"/>
  <c r="C73" i="25" s="1"/>
  <c r="J60" i="4"/>
  <c r="K60" i="4" s="1"/>
  <c r="F61" i="25"/>
  <c r="F62" i="25" s="1"/>
  <c r="F65" i="25" s="1"/>
  <c r="F83" i="25" s="1"/>
  <c r="F55" i="25" s="1"/>
  <c r="F80" i="25" s="1"/>
  <c r="C73" i="21"/>
  <c r="G22" i="23"/>
  <c r="G40" i="23" s="1"/>
  <c r="G130" i="22"/>
  <c r="G131" i="22" s="1"/>
  <c r="C132" i="22" s="1"/>
  <c r="J61" i="4" s="1"/>
  <c r="K61" i="4" s="1"/>
  <c r="E81" i="24"/>
  <c r="G11" i="23"/>
  <c r="E19" i="25"/>
  <c r="E22" i="25" s="1"/>
  <c r="E40" i="25" s="1"/>
  <c r="G11" i="20"/>
  <c r="G12" i="20"/>
  <c r="H46" i="4" s="1"/>
  <c r="C13" i="23"/>
  <c r="C14" i="23" s="1"/>
  <c r="D81" i="21"/>
  <c r="E12" i="21"/>
  <c r="E37" i="21" s="1"/>
  <c r="E22" i="21"/>
  <c r="E40" i="21" s="1"/>
  <c r="E11" i="21"/>
  <c r="C41" i="23"/>
  <c r="C42" i="23" s="1"/>
  <c r="C38" i="23"/>
  <c r="F43" i="4"/>
  <c r="C37" i="24"/>
  <c r="C81" i="25"/>
  <c r="C84" i="25"/>
  <c r="C85" i="25" s="1"/>
  <c r="G61" i="21"/>
  <c r="G62" i="21" s="1"/>
  <c r="G65" i="21" s="1"/>
  <c r="G83" i="21" s="1"/>
  <c r="G55" i="21" s="1"/>
  <c r="G80" i="21" s="1"/>
  <c r="F62" i="21"/>
  <c r="F65" i="21" s="1"/>
  <c r="F83" i="21" s="1"/>
  <c r="F55" i="21" s="1"/>
  <c r="F80" i="21" s="1"/>
  <c r="G80" i="23"/>
  <c r="C56" i="23"/>
  <c r="C57" i="23" s="1"/>
  <c r="E29" i="22"/>
  <c r="E19" i="22"/>
  <c r="C12" i="25"/>
  <c r="C11" i="25"/>
  <c r="C22" i="25"/>
  <c r="C40" i="25" s="1"/>
  <c r="E38" i="23"/>
  <c r="E41" i="23"/>
  <c r="E42" i="23" s="1"/>
  <c r="E84" i="21"/>
  <c r="E85" i="21" s="1"/>
  <c r="E81" i="21"/>
  <c r="C30" i="21"/>
  <c r="H44" i="4"/>
  <c r="G37" i="23"/>
  <c r="D37" i="23"/>
  <c r="G44" i="4"/>
  <c r="F47" i="4"/>
  <c r="C37" i="21"/>
  <c r="D22" i="21"/>
  <c r="D40" i="21" s="1"/>
  <c r="D12" i="21"/>
  <c r="D11" i="21"/>
  <c r="G130" i="25"/>
  <c r="G131" i="25" s="1"/>
  <c r="C132" i="25" s="1"/>
  <c r="J55" i="4" s="1"/>
  <c r="K55" i="4" s="1"/>
  <c r="G127" i="25"/>
  <c r="F41" i="23"/>
  <c r="F42" i="23" s="1"/>
  <c r="F38" i="23"/>
  <c r="E72" i="22"/>
  <c r="E62" i="22"/>
  <c r="E65" i="22" s="1"/>
  <c r="E83" i="22" s="1"/>
  <c r="E55" i="22" s="1"/>
  <c r="E80" i="22" s="1"/>
  <c r="F38" i="20"/>
  <c r="F41" i="20"/>
  <c r="F42" i="20" s="1"/>
  <c r="C81" i="22"/>
  <c r="C84" i="22"/>
  <c r="C85" i="22" s="1"/>
  <c r="C22" i="22"/>
  <c r="C40" i="22" s="1"/>
  <c r="C12" i="22"/>
  <c r="C11" i="22"/>
  <c r="G46" i="4"/>
  <c r="D37" i="20"/>
  <c r="G18" i="21"/>
  <c r="G19" i="21" s="1"/>
  <c r="F19" i="21"/>
  <c r="I55" i="4"/>
  <c r="C103" i="25"/>
  <c r="C30" i="25"/>
  <c r="E38" i="24"/>
  <c r="E41" i="24"/>
  <c r="E42" i="24" s="1"/>
  <c r="E81" i="25"/>
  <c r="E84" i="25"/>
  <c r="E85" i="25" s="1"/>
  <c r="C56" i="24"/>
  <c r="C57" i="24" s="1"/>
  <c r="D12" i="25"/>
  <c r="D11" i="25"/>
  <c r="D22" i="25"/>
  <c r="D40" i="25" s="1"/>
  <c r="G18" i="25"/>
  <c r="G19" i="25" s="1"/>
  <c r="F19" i="25"/>
  <c r="D37" i="24"/>
  <c r="G43" i="4"/>
  <c r="D84" i="24"/>
  <c r="D85" i="24" s="1"/>
  <c r="D81" i="24"/>
  <c r="G84" i="24"/>
  <c r="G85" i="24" s="1"/>
  <c r="G81" i="24"/>
  <c r="D80" i="25"/>
  <c r="G12" i="24"/>
  <c r="C13" i="24" s="1"/>
  <c r="G11" i="24"/>
  <c r="G22" i="24"/>
  <c r="G40" i="24" s="1"/>
  <c r="F84" i="24"/>
  <c r="F85" i="24" s="1"/>
  <c r="F81" i="24"/>
  <c r="F11" i="24"/>
  <c r="F22" i="24"/>
  <c r="F40" i="24" s="1"/>
  <c r="F12" i="24"/>
  <c r="F37" i="24" s="1"/>
  <c r="G61" i="25"/>
  <c r="G62" i="25" s="1"/>
  <c r="G65" i="25" s="1"/>
  <c r="G83" i="25" s="1"/>
  <c r="G55" i="25" s="1"/>
  <c r="G80" i="25" s="1"/>
  <c r="F12" i="9"/>
  <c r="E12" i="9"/>
  <c r="C80" i="9"/>
  <c r="C81" i="9" s="1"/>
  <c r="G80" i="20"/>
  <c r="G81" i="20" s="1"/>
  <c r="C56" i="20"/>
  <c r="C57" i="20" s="1"/>
  <c r="F11" i="9"/>
  <c r="I18" i="4" s="1"/>
  <c r="F22" i="9"/>
  <c r="F40" i="9" s="1"/>
  <c r="E29" i="9"/>
  <c r="E22" i="9"/>
  <c r="E40" i="9" s="1"/>
  <c r="E37" i="20"/>
  <c r="E38" i="20" s="1"/>
  <c r="E81" i="20"/>
  <c r="E84" i="20"/>
  <c r="E85" i="20" s="1"/>
  <c r="C41" i="20"/>
  <c r="C42" i="20" s="1"/>
  <c r="C38" i="20"/>
  <c r="C81" i="20"/>
  <c r="C84" i="20"/>
  <c r="C85" i="20" s="1"/>
  <c r="G10" i="9"/>
  <c r="E11" i="9"/>
  <c r="H18" i="4" s="1"/>
  <c r="F80" i="9"/>
  <c r="F84" i="9" s="1"/>
  <c r="E72" i="9"/>
  <c r="G61" i="9"/>
  <c r="G19" i="9"/>
  <c r="F8" i="9"/>
  <c r="E8" i="9"/>
  <c r="D8" i="9"/>
  <c r="E11" i="25" l="1"/>
  <c r="E12" i="25"/>
  <c r="E37" i="25" s="1"/>
  <c r="E38" i="25" s="1"/>
  <c r="G37" i="20"/>
  <c r="G38" i="20" s="1"/>
  <c r="C13" i="20"/>
  <c r="I46" i="4" s="1"/>
  <c r="C84" i="9"/>
  <c r="I44" i="4"/>
  <c r="C56" i="21"/>
  <c r="C57" i="21" s="1"/>
  <c r="G11" i="21"/>
  <c r="G12" i="21"/>
  <c r="G22" i="21"/>
  <c r="G40" i="21" s="1"/>
  <c r="D37" i="21"/>
  <c r="G47" i="4"/>
  <c r="E22" i="22"/>
  <c r="E40" i="22" s="1"/>
  <c r="E11" i="22"/>
  <c r="E12" i="22"/>
  <c r="E37" i="22" s="1"/>
  <c r="D38" i="20"/>
  <c r="D41" i="20"/>
  <c r="D42" i="20" s="1"/>
  <c r="D38" i="23"/>
  <c r="D41" i="23"/>
  <c r="D42" i="23" s="1"/>
  <c r="F81" i="21"/>
  <c r="F84" i="21"/>
  <c r="F85" i="21" s="1"/>
  <c r="C41" i="24"/>
  <c r="C42" i="24" s="1"/>
  <c r="C38" i="24"/>
  <c r="C41" i="21"/>
  <c r="C42" i="21" s="1"/>
  <c r="C38" i="21"/>
  <c r="G41" i="23"/>
  <c r="G42" i="23" s="1"/>
  <c r="G38" i="23"/>
  <c r="G84" i="21"/>
  <c r="G85" i="21" s="1"/>
  <c r="C86" i="21" s="1"/>
  <c r="G81" i="21"/>
  <c r="F48" i="4"/>
  <c r="C37" i="22"/>
  <c r="F11" i="21"/>
  <c r="F12" i="21"/>
  <c r="F37" i="21" s="1"/>
  <c r="F22" i="21"/>
  <c r="F40" i="21" s="1"/>
  <c r="E84" i="22"/>
  <c r="E85" i="22" s="1"/>
  <c r="E81" i="22"/>
  <c r="F42" i="4"/>
  <c r="C37" i="25"/>
  <c r="G84" i="23"/>
  <c r="G85" i="23" s="1"/>
  <c r="C86" i="23" s="1"/>
  <c r="G81" i="23"/>
  <c r="E41" i="21"/>
  <c r="E42" i="21" s="1"/>
  <c r="E38" i="21"/>
  <c r="C14" i="24"/>
  <c r="I43" i="4"/>
  <c r="G12" i="25"/>
  <c r="C13" i="25" s="1"/>
  <c r="G11" i="25"/>
  <c r="G22" i="25"/>
  <c r="G40" i="25" s="1"/>
  <c r="H43" i="4"/>
  <c r="G37" i="24"/>
  <c r="G81" i="25"/>
  <c r="G84" i="25"/>
  <c r="G85" i="25" s="1"/>
  <c r="F38" i="24"/>
  <c r="F41" i="24"/>
  <c r="F42" i="24" s="1"/>
  <c r="C56" i="25"/>
  <c r="C57" i="25" s="1"/>
  <c r="D38" i="24"/>
  <c r="D41" i="24"/>
  <c r="D42" i="24" s="1"/>
  <c r="F84" i="25"/>
  <c r="F85" i="25" s="1"/>
  <c r="F81" i="25"/>
  <c r="D84" i="25"/>
  <c r="D85" i="25" s="1"/>
  <c r="D81" i="25"/>
  <c r="C86" i="24"/>
  <c r="F12" i="25"/>
  <c r="F37" i="25" s="1"/>
  <c r="F11" i="25"/>
  <c r="F22" i="25"/>
  <c r="F40" i="25" s="1"/>
  <c r="D37" i="25"/>
  <c r="G42" i="4"/>
  <c r="G62" i="9"/>
  <c r="G65" i="9" s="1"/>
  <c r="G83" i="9" s="1"/>
  <c r="G55" i="9" s="1"/>
  <c r="G84" i="20"/>
  <c r="G85" i="20" s="1"/>
  <c r="C86" i="20" s="1"/>
  <c r="E41" i="20"/>
  <c r="E42" i="20" s="1"/>
  <c r="G12" i="9"/>
  <c r="G22" i="9"/>
  <c r="G11" i="9"/>
  <c r="G8" i="9"/>
  <c r="F81" i="9"/>
  <c r="D72" i="9"/>
  <c r="C73" i="9" s="1"/>
  <c r="D62" i="9"/>
  <c r="D65" i="9" s="1"/>
  <c r="D83" i="9" s="1"/>
  <c r="E37" i="9"/>
  <c r="E41" i="9" s="1"/>
  <c r="C17" i="9"/>
  <c r="C19" i="9" s="1"/>
  <c r="D17" i="9"/>
  <c r="C35" i="9"/>
  <c r="C36" i="9"/>
  <c r="D34" i="9"/>
  <c r="D35" i="9"/>
  <c r="D36" i="9"/>
  <c r="J18" i="4" l="1"/>
  <c r="J19" i="4"/>
  <c r="G41" i="20"/>
  <c r="G42" i="20" s="1"/>
  <c r="E41" i="25"/>
  <c r="E42" i="25" s="1"/>
  <c r="C14" i="20"/>
  <c r="C86" i="25"/>
  <c r="C43" i="23"/>
  <c r="J44" i="4" s="1"/>
  <c r="K44" i="4" s="1"/>
  <c r="C41" i="25"/>
  <c r="C42" i="25" s="1"/>
  <c r="C38" i="25"/>
  <c r="D38" i="21"/>
  <c r="D41" i="21"/>
  <c r="D42" i="21" s="1"/>
  <c r="F38" i="21"/>
  <c r="F41" i="21"/>
  <c r="F42" i="21" s="1"/>
  <c r="C13" i="21"/>
  <c r="G37" i="21"/>
  <c r="H47" i="4"/>
  <c r="E38" i="22"/>
  <c r="E41" i="22"/>
  <c r="E42" i="22" s="1"/>
  <c r="C41" i="22"/>
  <c r="C42" i="22" s="1"/>
  <c r="C38" i="22"/>
  <c r="G41" i="24"/>
  <c r="G42" i="24" s="1"/>
  <c r="C43" i="24" s="1"/>
  <c r="J43" i="4" s="1"/>
  <c r="K43" i="4" s="1"/>
  <c r="G38" i="24"/>
  <c r="H42" i="4"/>
  <c r="G37" i="25"/>
  <c r="F38" i="25"/>
  <c r="F41" i="25"/>
  <c r="F42" i="25" s="1"/>
  <c r="D38" i="25"/>
  <c r="D41" i="25"/>
  <c r="D42" i="25" s="1"/>
  <c r="C14" i="25"/>
  <c r="I42" i="4"/>
  <c r="C43" i="20"/>
  <c r="J46" i="4" s="1"/>
  <c r="K46" i="4" s="1"/>
  <c r="C29" i="9"/>
  <c r="C22" i="9"/>
  <c r="C40" i="9" s="1"/>
  <c r="C12" i="9"/>
  <c r="F19" i="4" s="1"/>
  <c r="C11" i="9"/>
  <c r="F18" i="4" s="1"/>
  <c r="D55" i="9"/>
  <c r="G37" i="9"/>
  <c r="H33" i="4"/>
  <c r="H34" i="4" s="1"/>
  <c r="G80" i="9"/>
  <c r="G84" i="9" s="1"/>
  <c r="G85" i="9" s="1"/>
  <c r="E80" i="9"/>
  <c r="E84" i="9" s="1"/>
  <c r="E38" i="9"/>
  <c r="G28" i="4"/>
  <c r="D19" i="9"/>
  <c r="G38" i="21" l="1"/>
  <c r="G41" i="21"/>
  <c r="G42" i="21" s="1"/>
  <c r="C43" i="21" s="1"/>
  <c r="J47" i="4" s="1"/>
  <c r="K47" i="4" s="1"/>
  <c r="I47" i="4"/>
  <c r="C14" i="21"/>
  <c r="G41" i="25"/>
  <c r="G42" i="25" s="1"/>
  <c r="C43" i="25" s="1"/>
  <c r="J42" i="4" s="1"/>
  <c r="K42" i="4" s="1"/>
  <c r="G38" i="25"/>
  <c r="H58" i="4"/>
  <c r="J33" i="4"/>
  <c r="J34" i="4" s="1"/>
  <c r="C56" i="9"/>
  <c r="C57" i="9" s="1"/>
  <c r="D29" i="9"/>
  <c r="C30" i="9" s="1"/>
  <c r="D22" i="9"/>
  <c r="D40" i="9" s="1"/>
  <c r="D12" i="9"/>
  <c r="G19" i="4" s="1"/>
  <c r="F20" i="4" s="1"/>
  <c r="D11" i="9"/>
  <c r="G18" i="4" s="1"/>
  <c r="G38" i="9"/>
  <c r="G41" i="9"/>
  <c r="E42" i="9"/>
  <c r="E85" i="9"/>
  <c r="F37" i="9"/>
  <c r="F41" i="9" s="1"/>
  <c r="I33" i="4"/>
  <c r="I34" i="4" s="1"/>
  <c r="C37" i="9"/>
  <c r="C41" i="9" s="1"/>
  <c r="C42" i="9" s="1"/>
  <c r="G81" i="9"/>
  <c r="E81" i="9"/>
  <c r="C13" i="9" l="1"/>
  <c r="I58" i="4" s="1"/>
  <c r="D18" i="22"/>
  <c r="D61" i="22"/>
  <c r="F33" i="4"/>
  <c r="F34" i="4" s="1"/>
  <c r="H45" i="4"/>
  <c r="F45" i="4"/>
  <c r="F58" i="4"/>
  <c r="D37" i="9"/>
  <c r="D41" i="9" s="1"/>
  <c r="D80" i="9"/>
  <c r="F38" i="9"/>
  <c r="G33" i="4" l="1"/>
  <c r="G34" i="4" s="1"/>
  <c r="F35" i="4" s="1"/>
  <c r="D62" i="22"/>
  <c r="D65" i="22" s="1"/>
  <c r="D83" i="22" s="1"/>
  <c r="D55" i="22" s="1"/>
  <c r="F61" i="22"/>
  <c r="D72" i="22"/>
  <c r="C73" i="22" s="1"/>
  <c r="F18" i="22"/>
  <c r="D19" i="22"/>
  <c r="D29" i="22"/>
  <c r="C30" i="22" s="1"/>
  <c r="I45" i="4"/>
  <c r="G58" i="4"/>
  <c r="G45" i="4"/>
  <c r="D81" i="9"/>
  <c r="D84" i="9"/>
  <c r="D85" i="9" s="1"/>
  <c r="F42" i="9"/>
  <c r="C85" i="9"/>
  <c r="F85" i="9"/>
  <c r="C14" i="9"/>
  <c r="D38" i="9"/>
  <c r="D42" i="9"/>
  <c r="F19" i="22" l="1"/>
  <c r="G18" i="22"/>
  <c r="G19" i="22" s="1"/>
  <c r="F62" i="22"/>
  <c r="F65" i="22" s="1"/>
  <c r="F83" i="22" s="1"/>
  <c r="F55" i="22" s="1"/>
  <c r="F80" i="22" s="1"/>
  <c r="G61" i="22"/>
  <c r="G62" i="22" s="1"/>
  <c r="G65" i="22" s="1"/>
  <c r="G83" i="22" s="1"/>
  <c r="G55" i="22" s="1"/>
  <c r="G80" i="22" s="1"/>
  <c r="D11" i="22"/>
  <c r="D12" i="22"/>
  <c r="D22" i="22"/>
  <c r="D40" i="22" s="1"/>
  <c r="D80" i="22"/>
  <c r="C86" i="9"/>
  <c r="C38" i="9"/>
  <c r="D84" i="22" l="1"/>
  <c r="D85" i="22" s="1"/>
  <c r="D81" i="22"/>
  <c r="F81" i="22"/>
  <c r="F84" i="22"/>
  <c r="F85" i="22" s="1"/>
  <c r="D37" i="22"/>
  <c r="G48" i="4"/>
  <c r="G22" i="22"/>
  <c r="G40" i="22" s="1"/>
  <c r="G12" i="22"/>
  <c r="C13" i="22" s="1"/>
  <c r="G11" i="22"/>
  <c r="G84" i="22"/>
  <c r="G85" i="22" s="1"/>
  <c r="G81" i="22"/>
  <c r="C56" i="22"/>
  <c r="C57" i="22" s="1"/>
  <c r="F11" i="22"/>
  <c r="F12" i="22"/>
  <c r="F37" i="22" s="1"/>
  <c r="F22" i="22"/>
  <c r="F40" i="22" s="1"/>
  <c r="G40" i="9"/>
  <c r="G42" i="9" s="1"/>
  <c r="C43" i="9" s="1"/>
  <c r="I48" i="4" l="1"/>
  <c r="C14" i="22"/>
  <c r="F38" i="22"/>
  <c r="F41" i="22"/>
  <c r="F42" i="22" s="1"/>
  <c r="H48" i="4"/>
  <c r="G37" i="22"/>
  <c r="D41" i="22"/>
  <c r="D42" i="22" s="1"/>
  <c r="D38" i="22"/>
  <c r="C86" i="22"/>
  <c r="J58" i="4"/>
  <c r="K58" i="4" s="1"/>
  <c r="J45" i="4"/>
  <c r="K45" i="4" s="1"/>
  <c r="G41" i="22" l="1"/>
  <c r="G42" i="22" s="1"/>
  <c r="C43" i="22" s="1"/>
  <c r="J48" i="4" s="1"/>
  <c r="K48" i="4" s="1"/>
  <c r="G38" i="22"/>
</calcChain>
</file>

<file path=xl/sharedStrings.xml><?xml version="1.0" encoding="utf-8"?>
<sst xmlns="http://schemas.openxmlformats.org/spreadsheetml/2006/main" count="1987" uniqueCount="162">
  <si>
    <t>Yield (bushels)</t>
  </si>
  <si>
    <t>Costs:</t>
  </si>
  <si>
    <t>Total Inputs (less machinery)</t>
  </si>
  <si>
    <t>Other (drying, trucking, insurance, interest)</t>
  </si>
  <si>
    <t>Land Rent</t>
  </si>
  <si>
    <t>Crop Revenue</t>
  </si>
  <si>
    <t>Machinery (fuel, labor, depreciation, etc.)</t>
  </si>
  <si>
    <t>Net Revenue per Acre</t>
  </si>
  <si>
    <t>Total Revenue per Acre</t>
  </si>
  <si>
    <t>Total Costs per Acre</t>
  </si>
  <si>
    <t xml:space="preserve">Base Land Rent </t>
  </si>
  <si>
    <t>Base Gross Revenue</t>
  </si>
  <si>
    <t>Land Rent - % of Gross Revenue above base</t>
  </si>
  <si>
    <t>Expected Gov't Payment (current price)</t>
  </si>
  <si>
    <t>Flex Lease Information:</t>
  </si>
  <si>
    <t xml:space="preserve"> </t>
  </si>
  <si>
    <t>Crop Revenue per Acre</t>
  </si>
  <si>
    <t xml:space="preserve">Net Revenue per Acre </t>
  </si>
  <si>
    <t>Description:</t>
  </si>
  <si>
    <t xml:space="preserve">  Increase from Cash Lease</t>
  </si>
  <si>
    <t>Revenues (Actual):</t>
  </si>
  <si>
    <t>Price</t>
  </si>
  <si>
    <t>Corn</t>
  </si>
  <si>
    <t>Soybeans</t>
  </si>
  <si>
    <t>Percent Rotation</t>
  </si>
  <si>
    <t>Net Revenue per Acre (rotation)</t>
  </si>
  <si>
    <t>Actual yield.</t>
  </si>
  <si>
    <t>Actual price.</t>
  </si>
  <si>
    <t>Total Costs (including base land rent)</t>
  </si>
  <si>
    <t>Base Plus Bonus Flex Lease</t>
  </si>
  <si>
    <t>Cash Lease (for comparison)</t>
  </si>
  <si>
    <t>Cash Rent (for comparison)</t>
  </si>
  <si>
    <t>Can final rent go below base rent?</t>
  </si>
  <si>
    <t>Yes</t>
  </si>
  <si>
    <t>No</t>
  </si>
  <si>
    <t>Base Lease Estimates:</t>
  </si>
  <si>
    <t>Expected future government payments (average for length of lease).</t>
  </si>
  <si>
    <t>Notes:</t>
  </si>
  <si>
    <t>Bonus will be based on revenue above this figure.  This can be the expected revenue or could be basic cost of production</t>
  </si>
  <si>
    <t>Proportion of revenue above the base that will go to the landowner.</t>
  </si>
  <si>
    <t>Final Rental Rate: Equal to base plus bonus (if any).</t>
  </si>
  <si>
    <t>Actual crop revenue.</t>
  </si>
  <si>
    <t>Actual total revenue.</t>
  </si>
  <si>
    <t>Total Revenue</t>
  </si>
  <si>
    <t>Total Costs</t>
  </si>
  <si>
    <t xml:space="preserve">Actual total input costs </t>
  </si>
  <si>
    <t>Actual machinery costs.</t>
  </si>
  <si>
    <t>Actual other costs: Drying, trucking, insurance, interest.</t>
  </si>
  <si>
    <t>Final Rental Rate for average acre of both corn and soybeans.</t>
  </si>
  <si>
    <t>Flex rent compared to cash rent.</t>
  </si>
  <si>
    <t>Expected net revenue over all costs for each crop.</t>
  </si>
  <si>
    <t>Expected net revenue over all costs for rotation.</t>
  </si>
  <si>
    <t xml:space="preserve">Actual Gov't Payment  </t>
  </si>
  <si>
    <t>Expected total revenue per acre with average yields and expected prices.</t>
  </si>
  <si>
    <t>This is to help you decide on the base revenue below.</t>
  </si>
  <si>
    <t>Bonus Land Rent</t>
  </si>
  <si>
    <t>Flex Rent (Base + Bonus)</t>
  </si>
  <si>
    <t>Bonus land rent.</t>
  </si>
  <si>
    <t>Flex Rent (rotation)</t>
  </si>
  <si>
    <t>Description: Land rent is a base rent plus a percentage of gross revenue above a certain threshold.</t>
  </si>
  <si>
    <t>Final Flex Rent.</t>
  </si>
  <si>
    <t>Actual total costs</t>
  </si>
  <si>
    <t>If "No" base rent will be the minimum rent.  If "Yes", final rent can be below this base.</t>
  </si>
  <si>
    <t>Gov't payment if included in flex lease.</t>
  </si>
  <si>
    <t>Other (drying, insurance, interest)</t>
  </si>
  <si>
    <t>Corn Price</t>
  </si>
  <si>
    <t>Soybean Price</t>
  </si>
  <si>
    <t>Includes Govt Payment</t>
  </si>
  <si>
    <t>Tenant Net with Flex Lease</t>
  </si>
  <si>
    <t>Tenant Net with Cash Lease</t>
  </si>
  <si>
    <t>Include Wheat</t>
  </si>
  <si>
    <t>Include crop insurance payments?</t>
  </si>
  <si>
    <t>Gross Revenue above which bonus is paid</t>
  </si>
  <si>
    <t>Wheat</t>
  </si>
  <si>
    <t>DC SB</t>
  </si>
  <si>
    <t>Wheat Price</t>
  </si>
  <si>
    <t>Combined</t>
  </si>
  <si>
    <t>Together</t>
  </si>
  <si>
    <t>Separately</t>
  </si>
  <si>
    <r>
      <rPr>
        <u/>
        <sz val="10"/>
        <rFont val="Arial"/>
        <family val="2"/>
      </rPr>
      <t>PLC Program</t>
    </r>
    <r>
      <rPr>
        <sz val="10"/>
        <rFont val="Arial"/>
        <family val="2"/>
      </rPr>
      <t>:</t>
    </r>
  </si>
  <si>
    <t>Base Acre %</t>
  </si>
  <si>
    <t>Base Acre % Overall Acres</t>
  </si>
  <si>
    <t>Price Guarantee</t>
  </si>
  <si>
    <t>Farm Yields</t>
  </si>
  <si>
    <t>PLC Payment</t>
  </si>
  <si>
    <t>PLC avg planted acre</t>
  </si>
  <si>
    <t>PLC Payments Included in Flex?</t>
  </si>
  <si>
    <t>Average Yields (bu/acre)</t>
  </si>
  <si>
    <t>Base Price ($/bu)</t>
  </si>
  <si>
    <t>Type of Flex Lease?</t>
  </si>
  <si>
    <t>Base+Bonus</t>
  </si>
  <si>
    <t>Flex Rent (% Revenue)</t>
  </si>
  <si>
    <t>% Revenue Flex Lease</t>
  </si>
  <si>
    <t xml:space="preserve">  Total Cost (not including rent)</t>
  </si>
  <si>
    <t>Corn Flex Lease</t>
  </si>
  <si>
    <t>Corn Yield</t>
  </si>
  <si>
    <t>Soybean Yield</t>
  </si>
  <si>
    <t>Wheat Yield</t>
  </si>
  <si>
    <t>Soybean price multiplier</t>
  </si>
  <si>
    <t>Wheat price multiplier</t>
  </si>
  <si>
    <t>Corn Price Change</t>
  </si>
  <si>
    <t>Total Costs per Acre (including rent)</t>
  </si>
  <si>
    <t>Base Plus Bonus Flex Lease *Price Change*</t>
  </si>
  <si>
    <t>% Revenue Flex Lease *Price Change*</t>
  </si>
  <si>
    <t>Base Plus Bonus Flex Lease *Yield Change*</t>
  </si>
  <si>
    <t>% Revenue Flex Lease *Yield Change*</t>
  </si>
  <si>
    <t>linked to hidden sheet</t>
  </si>
  <si>
    <t>Crop Insurance Payment</t>
  </si>
  <si>
    <t>Full Season</t>
  </si>
  <si>
    <t>Wheat/SB Flex Lease</t>
  </si>
  <si>
    <t>note for price table</t>
  </si>
  <si>
    <t>note for yield table</t>
  </si>
  <si>
    <t>base+bonus, together</t>
  </si>
  <si>
    <t>% revenue, together</t>
  </si>
  <si>
    <t>Expected Net Profit with Flex Lease:</t>
  </si>
  <si>
    <t>Base Rent (Floor) for Flex Lease</t>
  </si>
  <si>
    <t>Net Revenue per Acre (all crops)</t>
  </si>
  <si>
    <t>Revenue Percentage</t>
  </si>
  <si>
    <t>Wheat/SB</t>
  </si>
  <si>
    <t>Calculate Double-Crop together or separate?</t>
  </si>
  <si>
    <t>Corn yield change</t>
  </si>
  <si>
    <t>Full season SB multiplier</t>
  </si>
  <si>
    <t>Double cropped SB multiplier</t>
  </si>
  <si>
    <t>Wheat multiplier</t>
  </si>
  <si>
    <t>Double Crop</t>
  </si>
  <si>
    <t>Soybean Flex Lease</t>
  </si>
  <si>
    <t>Additional Scenario Evaluation (same flex lease with different prices/yields)</t>
  </si>
  <si>
    <t xml:space="preserve">This the lowest the rent will be.  To estimate a crop-share, enter $0 here </t>
  </si>
  <si>
    <t>Expected Gross Revenue ($/acre)</t>
  </si>
  <si>
    <t>Base Gross Revenue ($/acre)</t>
  </si>
  <si>
    <t>Bonus Rent ($/acre)</t>
  </si>
  <si>
    <t>Flexible Base Lease Info</t>
  </si>
  <si>
    <t>Expected Costs ($/acre):</t>
  </si>
  <si>
    <t>Include Costs to Estimate Net Profit?</t>
  </si>
  <si>
    <t>Flex Lease all Crops Average</t>
  </si>
  <si>
    <t>Flex Lease: Price Fluctuations with Constant Yields ($/bu)</t>
  </si>
  <si>
    <t>Flex Lease: Yield Fluctuations with Constant Prices (bu/acre)</t>
  </si>
  <si>
    <t>Choose either 1) Revenue Percentage, or 2) Base + Bonus</t>
  </si>
  <si>
    <t xml:space="preserve">This is the percentage of revenue going to the landowner </t>
  </si>
  <si>
    <t>Expected rotation in percentage terms</t>
  </si>
  <si>
    <t>Expected future yield (average for length of lease)</t>
  </si>
  <si>
    <t>Expected future prices (average for length of lease)</t>
  </si>
  <si>
    <t>Expected input costs (less machinery)</t>
  </si>
  <si>
    <t>Expected machinery costs (fuel, labor, repairs, depreciation, etc.)</t>
  </si>
  <si>
    <t>Expected drying, insurance, interest, and other costs</t>
  </si>
  <si>
    <t>Expected total costs with cash rent</t>
  </si>
  <si>
    <t>Expected crop revenue per acre with average yields and expected prices</t>
  </si>
  <si>
    <t>Expected net revenue per acre for each crop with average yields and expected prices</t>
  </si>
  <si>
    <t>Expected net revenue per acre for rotation with average yields and expected prices</t>
  </si>
  <si>
    <t>Enter "Yes" if you want to estimate your costs and net revenue</t>
  </si>
  <si>
    <t>For more information, contact:</t>
  </si>
  <si>
    <t>Greg Halich</t>
  </si>
  <si>
    <t>Samantha Kindred</t>
  </si>
  <si>
    <t>Associate Extension Professor</t>
  </si>
  <si>
    <t>Extension Associate</t>
  </si>
  <si>
    <t>Greg.Halich@uky.edu</t>
  </si>
  <si>
    <t>Samantha.Kindred@uky.edu</t>
  </si>
  <si>
    <t>859-257-8841</t>
  </si>
  <si>
    <t>859-257-2996</t>
  </si>
  <si>
    <t>Flexible Cash Lease Decision-Aid</t>
  </si>
  <si>
    <t xml:space="preserve">           Last updated: 3/1/2016</t>
  </si>
  <si>
    <t xml:space="preserve">This spreadsheet is designed to assist the land owner and producer in deciding if a flexible cash lease can accommodate their situation. The user determines the expected flex rent based on a series of input questions, and then compares it to a typical cash lease. The spreadsheet also estimates the gross profit per year based on this input. The land owner and producer can then decide if the reward to risk ratio is the right fit for them.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</si>
</sst>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quot;$&quot;#,##0.00"/>
    <numFmt numFmtId="165" formatCode="&quot;$&quot;#,##0"/>
    <numFmt numFmtId="166" formatCode="0.0%"/>
  </numFmts>
  <fonts count="19" x14ac:knownFonts="1">
    <font>
      <sz val="10"/>
      <name val="Arial"/>
    </font>
    <font>
      <b/>
      <u/>
      <sz val="10"/>
      <name val="Arial"/>
      <family val="2"/>
    </font>
    <font>
      <u/>
      <sz val="10"/>
      <name val="Arial"/>
      <family val="2"/>
    </font>
    <font>
      <u/>
      <sz val="10"/>
      <name val="Arial"/>
      <family val="2"/>
    </font>
    <font>
      <b/>
      <sz val="10"/>
      <color indexed="12"/>
      <name val="Arial"/>
      <family val="2"/>
    </font>
    <font>
      <sz val="10"/>
      <name val="Arial"/>
      <family val="2"/>
    </font>
    <font>
      <i/>
      <sz val="10"/>
      <name val="Arial"/>
      <family val="2"/>
    </font>
    <font>
      <b/>
      <i/>
      <sz val="10"/>
      <name val="Arial"/>
      <family val="2"/>
    </font>
    <font>
      <b/>
      <sz val="10"/>
      <name val="Arial"/>
      <family val="2"/>
    </font>
    <font>
      <b/>
      <sz val="12"/>
      <name val="Arial"/>
      <family val="2"/>
    </font>
    <font>
      <b/>
      <i/>
      <sz val="12"/>
      <name val="Arial"/>
      <family val="2"/>
    </font>
    <font>
      <b/>
      <i/>
      <u/>
      <sz val="10"/>
      <name val="Arial"/>
      <family val="2"/>
    </font>
    <font>
      <sz val="8"/>
      <name val="Arial"/>
      <family val="2"/>
    </font>
    <font>
      <sz val="10"/>
      <name val="Arial"/>
      <family val="2"/>
    </font>
    <font>
      <b/>
      <sz val="10"/>
      <color rgb="FF0070C0"/>
      <name val="Arial"/>
      <family val="2"/>
    </font>
    <font>
      <b/>
      <sz val="10"/>
      <color theme="0"/>
      <name val="Arial"/>
      <family val="2"/>
    </font>
    <font>
      <b/>
      <sz val="14"/>
      <name val="Arial"/>
      <family val="2"/>
    </font>
    <font>
      <b/>
      <sz val="18"/>
      <name val="Arial"/>
      <family val="2"/>
    </font>
    <font>
      <u/>
      <sz val="10"/>
      <color indexed="12"/>
      <name val="Arial"/>
      <family val="2"/>
    </font>
  </fonts>
  <fills count="7">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3" tint="0.39997558519241921"/>
        <bgColor indexed="64"/>
      </patternFill>
    </fill>
    <fill>
      <patternFill patternType="solid">
        <fgColor rgb="FF0070C0"/>
        <bgColor indexed="64"/>
      </patternFill>
    </fill>
    <fill>
      <patternFill patternType="solid">
        <fgColor theme="0" tint="-0.14999847407452621"/>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right style="thin">
        <color indexed="64"/>
      </right>
      <top style="thin">
        <color indexed="64"/>
      </top>
      <bottom style="thick">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style="thick">
        <color indexed="64"/>
      </top>
      <bottom style="thin">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top style="thick">
        <color indexed="64"/>
      </top>
      <bottom style="thin">
        <color indexed="64"/>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style="double">
        <color indexed="64"/>
      </left>
      <right style="thin">
        <color indexed="64"/>
      </right>
      <top style="thick">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ck">
        <color indexed="64"/>
      </bottom>
      <diagonal/>
    </border>
    <border>
      <left style="thin">
        <color indexed="64"/>
      </left>
      <right/>
      <top style="thick">
        <color indexed="64"/>
      </top>
      <bottom/>
      <diagonal/>
    </border>
    <border>
      <left/>
      <right/>
      <top/>
      <bottom style="thin">
        <color indexed="64"/>
      </bottom>
      <diagonal/>
    </border>
    <border>
      <left/>
      <right style="thin">
        <color indexed="64"/>
      </right>
      <top style="thin">
        <color indexed="64"/>
      </top>
      <bottom/>
      <diagonal/>
    </border>
    <border>
      <left style="double">
        <color indexed="64"/>
      </left>
      <right style="double">
        <color indexed="64"/>
      </right>
      <top style="thick">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ck">
        <color indexed="64"/>
      </bottom>
      <diagonal/>
    </border>
    <border>
      <left style="thick">
        <color indexed="64"/>
      </left>
      <right/>
      <top style="thin">
        <color indexed="64"/>
      </top>
      <bottom/>
      <diagonal/>
    </border>
    <border>
      <left/>
      <right/>
      <top style="thin">
        <color indexed="64"/>
      </top>
      <bottom/>
      <diagonal/>
    </border>
    <border>
      <left style="thick">
        <color indexed="64"/>
      </left>
      <right/>
      <top/>
      <bottom style="thin">
        <color indexed="64"/>
      </bottom>
      <diagonal/>
    </border>
  </borders>
  <cellStyleXfs count="4">
    <xf numFmtId="0" fontId="0" fillId="0" borderId="0"/>
    <xf numFmtId="44" fontId="13" fillId="0" borderId="0" applyFont="0" applyFill="0" applyBorder="0" applyAlignment="0" applyProtection="0"/>
    <xf numFmtId="9" fontId="13" fillId="0" borderId="0" applyFont="0" applyFill="0" applyBorder="0" applyAlignment="0" applyProtection="0"/>
    <xf numFmtId="0" fontId="18" fillId="0" borderId="0" applyNumberFormat="0" applyFill="0" applyBorder="0" applyAlignment="0" applyProtection="0">
      <alignment vertical="top"/>
      <protection locked="0"/>
    </xf>
  </cellStyleXfs>
  <cellXfs count="344">
    <xf numFmtId="0" fontId="0" fillId="0" borderId="0" xfId="0"/>
    <xf numFmtId="0" fontId="6" fillId="0" borderId="0" xfId="0" applyFont="1"/>
    <xf numFmtId="0" fontId="0" fillId="0" borderId="1" xfId="0" applyBorder="1"/>
    <xf numFmtId="165" fontId="5" fillId="0" borderId="1" xfId="0" applyNumberFormat="1" applyFont="1" applyBorder="1"/>
    <xf numFmtId="165" fontId="4" fillId="0" borderId="1" xfId="0" applyNumberFormat="1" applyFont="1" applyBorder="1"/>
    <xf numFmtId="165" fontId="3" fillId="0" borderId="1" xfId="0" applyNumberFormat="1" applyFont="1" applyBorder="1"/>
    <xf numFmtId="165" fontId="2" fillId="0" borderId="1" xfId="0" applyNumberFormat="1" applyFont="1" applyBorder="1"/>
    <xf numFmtId="0" fontId="1" fillId="0" borderId="0" xfId="0" applyFont="1"/>
    <xf numFmtId="9" fontId="5" fillId="0" borderId="1" xfId="0" applyNumberFormat="1" applyFont="1" applyBorder="1"/>
    <xf numFmtId="165" fontId="10" fillId="2" borderId="1" xfId="0" applyNumberFormat="1" applyFont="1" applyFill="1" applyBorder="1"/>
    <xf numFmtId="165" fontId="7" fillId="2" borderId="1" xfId="0" applyNumberFormat="1" applyFont="1" applyFill="1" applyBorder="1"/>
    <xf numFmtId="0" fontId="0" fillId="0" borderId="0" xfId="0" applyFill="1"/>
    <xf numFmtId="0" fontId="8" fillId="0" borderId="1" xfId="0" applyFont="1" applyBorder="1" applyAlignment="1">
      <alignment horizontal="center"/>
    </xf>
    <xf numFmtId="165" fontId="8" fillId="0" borderId="1" xfId="0" applyNumberFormat="1" applyFont="1" applyBorder="1" applyAlignment="1">
      <alignment horizontal="right"/>
    </xf>
    <xf numFmtId="165" fontId="6" fillId="0" borderId="1" xfId="0" applyNumberFormat="1" applyFont="1" applyBorder="1"/>
    <xf numFmtId="0" fontId="6" fillId="0" borderId="0" xfId="0" applyFont="1" applyFill="1"/>
    <xf numFmtId="0" fontId="3" fillId="0" borderId="2" xfId="0" applyFont="1" applyBorder="1"/>
    <xf numFmtId="0" fontId="0" fillId="0" borderId="2" xfId="0" applyBorder="1"/>
    <xf numFmtId="0" fontId="0" fillId="0" borderId="2" xfId="0" applyFill="1" applyBorder="1"/>
    <xf numFmtId="0" fontId="9" fillId="0" borderId="2" xfId="0" applyFont="1" applyBorder="1"/>
    <xf numFmtId="0" fontId="2" fillId="0" borderId="2" xfId="0" applyFont="1" applyBorder="1"/>
    <xf numFmtId="0" fontId="7" fillId="0" borderId="2" xfId="0" applyFont="1" applyBorder="1"/>
    <xf numFmtId="0" fontId="7" fillId="0" borderId="4" xfId="0" applyFont="1" applyBorder="1"/>
    <xf numFmtId="0" fontId="11" fillId="0" borderId="0" xfId="0" applyFont="1"/>
    <xf numFmtId="0" fontId="6" fillId="0" borderId="2" xfId="0" applyFont="1" applyBorder="1"/>
    <xf numFmtId="0" fontId="5" fillId="0" borderId="0" xfId="0" applyFont="1"/>
    <xf numFmtId="164" fontId="5" fillId="3" borderId="1" xfId="0" applyNumberFormat="1" applyFont="1" applyFill="1" applyBorder="1"/>
    <xf numFmtId="0" fontId="5" fillId="0" borderId="2" xfId="0" applyFont="1" applyBorder="1"/>
    <xf numFmtId="2" fontId="4" fillId="0" borderId="1" xfId="0" applyNumberFormat="1" applyFont="1" applyFill="1" applyBorder="1" applyAlignment="1">
      <alignment horizontal="right"/>
    </xf>
    <xf numFmtId="165" fontId="5" fillId="0" borderId="1" xfId="0" applyNumberFormat="1" applyFont="1" applyFill="1" applyBorder="1" applyAlignment="1">
      <alignment horizontal="right"/>
    </xf>
    <xf numFmtId="165" fontId="8" fillId="0" borderId="1" xfId="0" applyNumberFormat="1" applyFont="1" applyBorder="1"/>
    <xf numFmtId="9" fontId="8" fillId="0" borderId="1" xfId="0" applyNumberFormat="1" applyFont="1" applyFill="1" applyBorder="1" applyAlignment="1">
      <alignment horizontal="right"/>
    </xf>
    <xf numFmtId="0" fontId="5" fillId="3" borderId="1" xfId="0" applyFont="1" applyFill="1" applyBorder="1"/>
    <xf numFmtId="0" fontId="5" fillId="0" borderId="0" xfId="0" applyFont="1" applyFill="1" applyBorder="1" applyAlignment="1">
      <alignment horizontal="left" vertical="center"/>
    </xf>
    <xf numFmtId="0" fontId="5" fillId="0" borderId="0" xfId="0" applyFont="1" applyBorder="1" applyAlignment="1">
      <alignment horizontal="center" vertical="center" wrapText="1"/>
    </xf>
    <xf numFmtId="0" fontId="8" fillId="0" borderId="3" xfId="0" applyFont="1" applyBorder="1" applyAlignment="1">
      <alignment horizontal="center"/>
    </xf>
    <xf numFmtId="165" fontId="7" fillId="2" borderId="3" xfId="0" applyNumberFormat="1" applyFont="1" applyFill="1" applyBorder="1"/>
    <xf numFmtId="165" fontId="4" fillId="0" borderId="3" xfId="0" applyNumberFormat="1" applyFont="1" applyBorder="1"/>
    <xf numFmtId="165" fontId="2" fillId="0" borderId="3" xfId="0" applyNumberFormat="1" applyFont="1" applyBorder="1"/>
    <xf numFmtId="165" fontId="5" fillId="0" borderId="3" xfId="0" applyNumberFormat="1" applyFont="1" applyBorder="1"/>
    <xf numFmtId="0" fontId="5" fillId="3" borderId="2" xfId="0" applyFont="1" applyFill="1" applyBorder="1"/>
    <xf numFmtId="0" fontId="5"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165" fontId="5" fillId="0" borderId="3" xfId="0" applyNumberFormat="1" applyFont="1" applyFill="1" applyBorder="1"/>
    <xf numFmtId="0" fontId="1" fillId="0" borderId="0" xfId="0" applyFont="1" applyAlignment="1">
      <alignment vertical="center"/>
    </xf>
    <xf numFmtId="164" fontId="8" fillId="0" borderId="3" xfId="0" applyNumberFormat="1" applyFont="1" applyBorder="1" applyAlignment="1">
      <alignment vertical="center"/>
    </xf>
    <xf numFmtId="165" fontId="8" fillId="0" borderId="1" xfId="0" applyNumberFormat="1" applyFont="1" applyFill="1" applyBorder="1" applyAlignment="1">
      <alignment vertical="center"/>
    </xf>
    <xf numFmtId="165" fontId="8" fillId="0" borderId="3" xfId="0" applyNumberFormat="1" applyFont="1" applyFill="1" applyBorder="1" applyAlignment="1">
      <alignment vertical="center"/>
    </xf>
    <xf numFmtId="0" fontId="5" fillId="0" borderId="0" xfId="0" applyFont="1" applyFill="1" applyAlignment="1">
      <alignment vertical="center"/>
    </xf>
    <xf numFmtId="0" fontId="0" fillId="0" borderId="0" xfId="0" applyFill="1" applyAlignment="1">
      <alignment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vertical="center"/>
    </xf>
    <xf numFmtId="165" fontId="5" fillId="0" borderId="1" xfId="0" applyNumberFormat="1" applyFont="1" applyFill="1" applyBorder="1" applyAlignment="1">
      <alignment vertical="center"/>
    </xf>
    <xf numFmtId="165" fontId="5" fillId="0" borderId="3" xfId="0" applyNumberFormat="1" applyFont="1" applyFill="1" applyBorder="1" applyAlignment="1">
      <alignment vertical="center"/>
    </xf>
    <xf numFmtId="165" fontId="4" fillId="0" borderId="1" xfId="0" applyNumberFormat="1" applyFont="1" applyBorder="1" applyAlignment="1">
      <alignment vertical="center"/>
    </xf>
    <xf numFmtId="165" fontId="4" fillId="0" borderId="3" xfId="0" applyNumberFormat="1" applyFont="1" applyBorder="1" applyAlignment="1">
      <alignment vertical="center"/>
    </xf>
    <xf numFmtId="165" fontId="8" fillId="0" borderId="3" xfId="0" applyNumberFormat="1" applyFont="1" applyBorder="1" applyAlignment="1">
      <alignment vertical="center"/>
    </xf>
    <xf numFmtId="165" fontId="5" fillId="0" borderId="1" xfId="0" applyNumberFormat="1" applyFont="1" applyBorder="1" applyAlignment="1">
      <alignment vertical="center"/>
    </xf>
    <xf numFmtId="165" fontId="5" fillId="0" borderId="3" xfId="0" applyNumberFormat="1" applyFont="1" applyBorder="1" applyAlignment="1">
      <alignment vertical="center"/>
    </xf>
    <xf numFmtId="0" fontId="0" fillId="0" borderId="0" xfId="0" applyBorder="1" applyAlignment="1">
      <alignment vertical="center"/>
    </xf>
    <xf numFmtId="165" fontId="0" fillId="0" borderId="0" xfId="0" applyNumberFormat="1" applyBorder="1" applyAlignment="1">
      <alignment horizontal="center" vertical="center"/>
    </xf>
    <xf numFmtId="0" fontId="5" fillId="0" borderId="0" xfId="0" applyFont="1" applyAlignment="1">
      <alignment vertical="center"/>
    </xf>
    <xf numFmtId="0" fontId="0" fillId="0" borderId="0" xfId="0" applyBorder="1" applyAlignment="1">
      <alignment horizontal="center" vertical="center"/>
    </xf>
    <xf numFmtId="0" fontId="5" fillId="0" borderId="0" xfId="0" applyFont="1" applyBorder="1" applyAlignment="1">
      <alignment vertical="center"/>
    </xf>
    <xf numFmtId="0" fontId="3" fillId="0" borderId="22" xfId="0" applyFont="1" applyBorder="1"/>
    <xf numFmtId="165" fontId="8" fillId="0" borderId="21" xfId="0" applyNumberFormat="1" applyFont="1" applyFill="1" applyBorder="1" applyAlignment="1">
      <alignment horizontal="center"/>
    </xf>
    <xf numFmtId="165" fontId="8" fillId="0" borderId="3" xfId="0" applyNumberFormat="1" applyFont="1" applyBorder="1" applyAlignment="1">
      <alignment horizontal="right"/>
    </xf>
    <xf numFmtId="9" fontId="8" fillId="0" borderId="3" xfId="0" applyNumberFormat="1" applyFont="1" applyFill="1" applyBorder="1" applyAlignment="1">
      <alignment horizontal="right"/>
    </xf>
    <xf numFmtId="165" fontId="10" fillId="2" borderId="3" xfId="0" applyNumberFormat="1" applyFont="1" applyFill="1" applyBorder="1"/>
    <xf numFmtId="9" fontId="5" fillId="0" borderId="3" xfId="0" applyNumberFormat="1" applyFont="1" applyBorder="1"/>
    <xf numFmtId="0" fontId="5" fillId="3" borderId="3" xfId="0" applyFont="1" applyFill="1" applyBorder="1"/>
    <xf numFmtId="44" fontId="5" fillId="3" borderId="3" xfId="1" applyFont="1" applyFill="1" applyBorder="1"/>
    <xf numFmtId="165" fontId="6" fillId="0" borderId="3" xfId="0" applyNumberFormat="1" applyFont="1" applyBorder="1"/>
    <xf numFmtId="2" fontId="4" fillId="0" borderId="3" xfId="0" applyNumberFormat="1" applyFont="1" applyFill="1" applyBorder="1" applyAlignment="1">
      <alignment horizontal="right"/>
    </xf>
    <xf numFmtId="0" fontId="0" fillId="0" borderId="3" xfId="0" applyBorder="1"/>
    <xf numFmtId="165" fontId="8" fillId="0" borderId="20" xfId="0" applyNumberFormat="1" applyFont="1" applyFill="1" applyBorder="1" applyAlignment="1">
      <alignment horizontal="center"/>
    </xf>
    <xf numFmtId="0" fontId="5" fillId="0" borderId="2" xfId="0" applyFont="1" applyFill="1" applyBorder="1"/>
    <xf numFmtId="164" fontId="5" fillId="3" borderId="3" xfId="1" applyNumberFormat="1" applyFont="1" applyFill="1" applyBorder="1" applyAlignment="1">
      <alignment horizontal="right" vertical="center"/>
    </xf>
    <xf numFmtId="165" fontId="0" fillId="0" borderId="0" xfId="0" applyNumberFormat="1"/>
    <xf numFmtId="0" fontId="5" fillId="0" borderId="0" xfId="0" applyFont="1" applyBorder="1" applyAlignment="1">
      <alignment horizontal="left" vertical="center"/>
    </xf>
    <xf numFmtId="165" fontId="3" fillId="0" borderId="1" xfId="0" applyNumberFormat="1" applyFont="1" applyFill="1" applyBorder="1" applyAlignment="1">
      <alignment vertical="center"/>
    </xf>
    <xf numFmtId="165" fontId="3" fillId="0" borderId="3" xfId="0" applyNumberFormat="1" applyFont="1" applyBorder="1"/>
    <xf numFmtId="164" fontId="14" fillId="0" borderId="0" xfId="0" applyNumberFormat="1" applyFont="1" applyBorder="1" applyAlignment="1">
      <alignment horizontal="right" vertical="center"/>
    </xf>
    <xf numFmtId="164" fontId="14" fillId="0" borderId="0" xfId="0" applyNumberFormat="1" applyFont="1" applyFill="1" applyAlignment="1">
      <alignment vertical="center"/>
    </xf>
    <xf numFmtId="0" fontId="14" fillId="0" borderId="0" xfId="0" applyFont="1" applyBorder="1" applyAlignment="1">
      <alignment horizontal="right" vertical="center"/>
    </xf>
    <xf numFmtId="164" fontId="15" fillId="4" borderId="1" xfId="0" applyNumberFormat="1" applyFont="1" applyFill="1" applyBorder="1"/>
    <xf numFmtId="0" fontId="8" fillId="0" borderId="3" xfId="0" applyNumberFormat="1" applyFont="1" applyFill="1" applyBorder="1" applyAlignment="1">
      <alignment horizontal="right"/>
    </xf>
    <xf numFmtId="0" fontId="7" fillId="0" borderId="4" xfId="0" applyFont="1" applyFill="1" applyBorder="1"/>
    <xf numFmtId="1" fontId="15" fillId="5" borderId="1" xfId="0" applyNumberFormat="1" applyFont="1" applyFill="1" applyBorder="1"/>
    <xf numFmtId="164" fontId="5" fillId="0" borderId="1" xfId="0" applyNumberFormat="1" applyFont="1" applyFill="1" applyBorder="1"/>
    <xf numFmtId="165" fontId="5" fillId="0" borderId="1" xfId="0" applyNumberFormat="1" applyFont="1" applyFill="1" applyBorder="1"/>
    <xf numFmtId="166" fontId="8" fillId="0" borderId="1" xfId="0" applyNumberFormat="1" applyFont="1" applyFill="1" applyBorder="1"/>
    <xf numFmtId="165" fontId="8" fillId="0" borderId="1" xfId="0" applyNumberFormat="1" applyFont="1" applyFill="1" applyBorder="1"/>
    <xf numFmtId="0" fontId="8" fillId="0" borderId="1" xfId="0" applyFont="1" applyFill="1" applyBorder="1"/>
    <xf numFmtId="0" fontId="7" fillId="0" borderId="33" xfId="0" applyFont="1" applyBorder="1"/>
    <xf numFmtId="165" fontId="3" fillId="0" borderId="3" xfId="0" applyNumberFormat="1" applyFont="1" applyFill="1" applyBorder="1" applyAlignment="1">
      <alignment vertical="center"/>
    </xf>
    <xf numFmtId="9" fontId="8" fillId="0" borderId="3" xfId="2" applyNumberFormat="1" applyFont="1" applyFill="1" applyBorder="1" applyAlignment="1">
      <alignment horizontal="right" vertical="center"/>
    </xf>
    <xf numFmtId="164" fontId="0" fillId="0" borderId="0" xfId="0" applyNumberFormat="1" applyBorder="1" applyAlignment="1">
      <alignment vertical="center"/>
    </xf>
    <xf numFmtId="164" fontId="8" fillId="0" borderId="1" xfId="0" applyNumberFormat="1" applyFont="1" applyBorder="1" applyAlignment="1">
      <alignment vertical="center"/>
    </xf>
    <xf numFmtId="0" fontId="5" fillId="0" borderId="0" xfId="0" applyFont="1" applyFill="1" applyBorder="1" applyAlignment="1">
      <alignment vertical="center"/>
    </xf>
    <xf numFmtId="0" fontId="0" fillId="0" borderId="0" xfId="0" applyFill="1" applyBorder="1" applyAlignment="1">
      <alignment vertical="center"/>
    </xf>
    <xf numFmtId="165" fontId="5" fillId="0" borderId="1" xfId="0" applyNumberFormat="1" applyFont="1" applyFill="1" applyBorder="1" applyAlignment="1">
      <alignment horizontal="right" vertical="center"/>
    </xf>
    <xf numFmtId="165" fontId="5" fillId="0" borderId="3" xfId="0" applyNumberFormat="1" applyFont="1" applyFill="1" applyBorder="1" applyAlignment="1">
      <alignment horizontal="right" vertical="center"/>
    </xf>
    <xf numFmtId="164" fontId="0" fillId="0" borderId="0" xfId="0" applyNumberFormat="1" applyFill="1" applyBorder="1" applyAlignment="1">
      <alignment horizontal="right" vertical="center"/>
    </xf>
    <xf numFmtId="2" fontId="5" fillId="3" borderId="3" xfId="0" applyNumberFormat="1" applyFont="1" applyFill="1" applyBorder="1"/>
    <xf numFmtId="164" fontId="8" fillId="6" borderId="2" xfId="0" applyNumberFormat="1" applyFont="1" applyFill="1" applyBorder="1" applyAlignment="1">
      <alignment horizontal="center" vertical="center"/>
    </xf>
    <xf numFmtId="165" fontId="5" fillId="0" borderId="10" xfId="0" applyNumberFormat="1" applyFont="1" applyFill="1" applyBorder="1" applyAlignment="1">
      <alignment horizontal="center" vertical="center"/>
    </xf>
    <xf numFmtId="1" fontId="8" fillId="6" borderId="12" xfId="0" applyNumberFormat="1" applyFont="1" applyFill="1" applyBorder="1" applyAlignment="1">
      <alignment horizontal="center" vertical="center"/>
    </xf>
    <xf numFmtId="1" fontId="8" fillId="6" borderId="1" xfId="0" applyNumberFormat="1" applyFont="1" applyFill="1" applyBorder="1" applyAlignment="1">
      <alignment horizontal="center" vertical="center"/>
    </xf>
    <xf numFmtId="1" fontId="8" fillId="6" borderId="11" xfId="0" applyNumberFormat="1" applyFont="1" applyFill="1" applyBorder="1" applyAlignment="1">
      <alignment horizontal="center" vertical="center"/>
    </xf>
    <xf numFmtId="164" fontId="5" fillId="0" borderId="2" xfId="0" applyNumberFormat="1" applyFont="1" applyBorder="1" applyAlignment="1">
      <alignment horizontal="center" vertical="center"/>
    </xf>
    <xf numFmtId="164" fontId="5" fillId="0" borderId="37" xfId="0" applyNumberFormat="1" applyFont="1" applyBorder="1" applyAlignment="1">
      <alignment horizontal="center" vertical="center"/>
    </xf>
    <xf numFmtId="165" fontId="8" fillId="6" borderId="46" xfId="0" applyNumberFormat="1" applyFont="1" applyFill="1" applyBorder="1" applyAlignment="1">
      <alignment horizontal="center" vertical="center"/>
    </xf>
    <xf numFmtId="165" fontId="8" fillId="6" borderId="1" xfId="0" applyNumberFormat="1" applyFont="1" applyFill="1" applyBorder="1" applyAlignment="1">
      <alignment horizontal="center" vertical="center"/>
    </xf>
    <xf numFmtId="165" fontId="8" fillId="6" borderId="10" xfId="0" applyNumberFormat="1" applyFont="1" applyFill="1" applyBorder="1" applyAlignment="1">
      <alignment horizontal="center" vertical="center"/>
    </xf>
    <xf numFmtId="1" fontId="5" fillId="0" borderId="2" xfId="0" applyNumberFormat="1" applyFont="1" applyBorder="1" applyAlignment="1">
      <alignment horizontal="center" vertical="center"/>
    </xf>
    <xf numFmtId="1" fontId="5" fillId="0" borderId="1" xfId="0" applyNumberFormat="1" applyFont="1" applyBorder="1" applyAlignment="1">
      <alignment horizontal="center" vertical="center"/>
    </xf>
    <xf numFmtId="165" fontId="5" fillId="0" borderId="10" xfId="0" applyNumberFormat="1" applyFont="1" applyBorder="1" applyAlignment="1">
      <alignment horizontal="center" vertical="center"/>
    </xf>
    <xf numFmtId="1" fontId="5" fillId="0" borderId="10" xfId="0" applyNumberFormat="1" applyFont="1" applyBorder="1" applyAlignment="1">
      <alignment horizontal="center" vertical="center"/>
    </xf>
    <xf numFmtId="1" fontId="8" fillId="6" borderId="14" xfId="0" applyNumberFormat="1" applyFont="1" applyFill="1" applyBorder="1" applyAlignment="1">
      <alignment horizontal="center" vertical="center"/>
    </xf>
    <xf numFmtId="0" fontId="5" fillId="0" borderId="11" xfId="0" applyFont="1" applyFill="1" applyBorder="1" applyAlignment="1">
      <alignment horizontal="left" vertical="center"/>
    </xf>
    <xf numFmtId="164" fontId="5" fillId="0" borderId="10" xfId="0" applyNumberFormat="1" applyFont="1" applyBorder="1" applyAlignment="1">
      <alignment horizontal="center" vertical="center"/>
    </xf>
    <xf numFmtId="0" fontId="5" fillId="0" borderId="1" xfId="0" applyFont="1" applyBorder="1" applyAlignment="1">
      <alignment horizontal="center" vertical="center" wrapText="1"/>
    </xf>
    <xf numFmtId="164" fontId="8" fillId="6" borderId="10" xfId="0" applyNumberFormat="1" applyFont="1" applyFill="1" applyBorder="1" applyAlignment="1">
      <alignment horizontal="center" vertical="center"/>
    </xf>
    <xf numFmtId="164" fontId="4" fillId="0" borderId="10" xfId="0" applyNumberFormat="1" applyFont="1" applyFill="1" applyBorder="1" applyAlignment="1">
      <alignment horizontal="center" vertical="center"/>
    </xf>
    <xf numFmtId="164" fontId="4" fillId="0" borderId="14" xfId="0" applyNumberFormat="1" applyFont="1" applyFill="1" applyBorder="1" applyAlignment="1">
      <alignment horizontal="center" vertical="center"/>
    </xf>
    <xf numFmtId="0" fontId="0" fillId="0" borderId="15" xfId="0" applyBorder="1" applyAlignment="1">
      <alignment horizontal="center" vertical="center"/>
    </xf>
    <xf numFmtId="165" fontId="8" fillId="0" borderId="20" xfId="0" applyNumberFormat="1" applyFont="1" applyFill="1" applyBorder="1" applyAlignment="1">
      <alignment horizontal="center"/>
    </xf>
    <xf numFmtId="165" fontId="7" fillId="6" borderId="1" xfId="0" applyNumberFormat="1" applyFont="1" applyFill="1" applyBorder="1" applyAlignment="1">
      <alignment vertical="center"/>
    </xf>
    <xf numFmtId="165" fontId="7" fillId="6" borderId="3" xfId="0" applyNumberFormat="1" applyFont="1" applyFill="1" applyBorder="1" applyAlignment="1">
      <alignment vertical="center"/>
    </xf>
    <xf numFmtId="9" fontId="8" fillId="0" borderId="0" xfId="2" applyFont="1" applyAlignment="1">
      <alignment vertical="center"/>
    </xf>
    <xf numFmtId="165" fontId="5" fillId="3" borderId="1" xfId="0" applyNumberFormat="1" applyFont="1" applyFill="1" applyBorder="1"/>
    <xf numFmtId="165" fontId="5" fillId="3" borderId="3" xfId="0" applyNumberFormat="1" applyFont="1" applyFill="1" applyBorder="1"/>
    <xf numFmtId="165" fontId="2" fillId="3" borderId="1" xfId="0" applyNumberFormat="1" applyFont="1" applyFill="1" applyBorder="1"/>
    <xf numFmtId="165" fontId="2" fillId="3" borderId="3" xfId="0" applyNumberFormat="1" applyFont="1" applyFill="1" applyBorder="1"/>
    <xf numFmtId="164" fontId="5" fillId="0" borderId="10" xfId="0" applyNumberFormat="1" applyFont="1" applyBorder="1" applyAlignment="1">
      <alignment horizontal="center" vertical="center"/>
    </xf>
    <xf numFmtId="1" fontId="5" fillId="3" borderId="3" xfId="0" applyNumberFormat="1" applyFont="1" applyFill="1" applyBorder="1"/>
    <xf numFmtId="165" fontId="5" fillId="0" borderId="46" xfId="0" applyNumberFormat="1" applyFont="1" applyBorder="1" applyAlignment="1">
      <alignment horizontal="center" vertical="center"/>
    </xf>
    <xf numFmtId="165" fontId="5" fillId="0" borderId="1" xfId="0" applyNumberFormat="1" applyFont="1" applyBorder="1" applyAlignment="1">
      <alignment horizontal="center" vertical="center"/>
    </xf>
    <xf numFmtId="165" fontId="5" fillId="0" borderId="47" xfId="0" applyNumberFormat="1" applyFont="1" applyBorder="1" applyAlignment="1">
      <alignment horizontal="center" vertical="center"/>
    </xf>
    <xf numFmtId="165" fontId="5" fillId="0" borderId="16" xfId="0" applyNumberFormat="1" applyFont="1" applyBorder="1" applyAlignment="1">
      <alignment horizontal="center" vertical="center"/>
    </xf>
    <xf numFmtId="165" fontId="5" fillId="0" borderId="23" xfId="0" applyNumberFormat="1" applyFont="1" applyBorder="1" applyAlignment="1">
      <alignment horizontal="center" vertical="center"/>
    </xf>
    <xf numFmtId="165" fontId="5" fillId="0" borderId="39" xfId="0" applyNumberFormat="1" applyFont="1" applyBorder="1" applyAlignment="1">
      <alignment horizontal="center" vertical="center"/>
    </xf>
    <xf numFmtId="165" fontId="5" fillId="0" borderId="38" xfId="0" applyNumberFormat="1" applyFont="1" applyBorder="1" applyAlignment="1">
      <alignment horizontal="center" vertical="center"/>
    </xf>
    <xf numFmtId="0" fontId="8" fillId="3" borderId="1" xfId="0" applyFont="1" applyFill="1" applyBorder="1"/>
    <xf numFmtId="164" fontId="8" fillId="3" borderId="1" xfId="0" applyNumberFormat="1" applyFont="1" applyFill="1" applyBorder="1"/>
    <xf numFmtId="165" fontId="5" fillId="0" borderId="0" xfId="0" applyNumberFormat="1" applyFont="1" applyFill="1" applyAlignment="1">
      <alignment horizontal="left" vertical="center"/>
    </xf>
    <xf numFmtId="165" fontId="6" fillId="0" borderId="1" xfId="0" applyNumberFormat="1" applyFont="1" applyBorder="1" applyAlignment="1">
      <alignment vertical="center"/>
    </xf>
    <xf numFmtId="165" fontId="6" fillId="0" borderId="3" xfId="0" applyNumberFormat="1" applyFont="1" applyBorder="1" applyAlignment="1">
      <alignment vertical="center"/>
    </xf>
    <xf numFmtId="166" fontId="4" fillId="3" borderId="1" xfId="0" applyNumberFormat="1" applyFont="1" applyFill="1" applyBorder="1" applyAlignment="1">
      <alignment vertical="center"/>
    </xf>
    <xf numFmtId="165" fontId="4" fillId="3" borderId="1" xfId="0" applyNumberFormat="1" applyFont="1" applyFill="1" applyBorder="1" applyAlignment="1">
      <alignment vertical="center"/>
    </xf>
    <xf numFmtId="164" fontId="5" fillId="0" borderId="1" xfId="0" applyNumberFormat="1" applyFont="1" applyBorder="1" applyAlignment="1">
      <alignment vertical="center"/>
    </xf>
    <xf numFmtId="0" fontId="4" fillId="3" borderId="1" xfId="0" applyFont="1" applyFill="1" applyBorder="1" applyAlignment="1">
      <alignment vertical="center"/>
    </xf>
    <xf numFmtId="2" fontId="4" fillId="0" borderId="1" xfId="0" applyNumberFormat="1" applyFont="1" applyFill="1" applyBorder="1" applyAlignment="1">
      <alignment horizontal="right" vertical="center"/>
    </xf>
    <xf numFmtId="2" fontId="4" fillId="0" borderId="3" xfId="0" applyNumberFormat="1" applyFont="1" applyFill="1" applyBorder="1" applyAlignment="1">
      <alignment horizontal="right" vertical="center"/>
    </xf>
    <xf numFmtId="0" fontId="8" fillId="0" borderId="0" xfId="0" applyNumberFormat="1" applyFont="1" applyAlignment="1">
      <alignment vertical="center"/>
    </xf>
    <xf numFmtId="2" fontId="8" fillId="0" borderId="0" xfId="0" applyNumberFormat="1" applyFont="1" applyAlignment="1">
      <alignment vertical="center"/>
    </xf>
    <xf numFmtId="0" fontId="8" fillId="0" borderId="5" xfId="0" applyFont="1" applyBorder="1" applyAlignment="1">
      <alignment horizontal="center" vertical="center"/>
    </xf>
    <xf numFmtId="0" fontId="8" fillId="0" borderId="44" xfId="0" applyFont="1" applyBorder="1" applyAlignment="1">
      <alignment horizontal="center" vertical="center"/>
    </xf>
    <xf numFmtId="0" fontId="5" fillId="0" borderId="0" xfId="0" applyFont="1" applyFill="1"/>
    <xf numFmtId="9" fontId="8" fillId="0" borderId="3" xfId="0" applyNumberFormat="1" applyFont="1" applyBorder="1" applyAlignment="1">
      <alignment horizontal="right" vertical="center"/>
    </xf>
    <xf numFmtId="165" fontId="5" fillId="0" borderId="11" xfId="0" applyNumberFormat="1" applyFont="1" applyFill="1" applyBorder="1" applyAlignment="1">
      <alignment horizontal="center" vertical="center"/>
    </xf>
    <xf numFmtId="165" fontId="7" fillId="6" borderId="52" xfId="0" applyNumberFormat="1" applyFont="1" applyFill="1" applyBorder="1" applyAlignment="1">
      <alignment horizontal="center" vertical="center"/>
    </xf>
    <xf numFmtId="165" fontId="7" fillId="0" borderId="52" xfId="0" applyNumberFormat="1" applyFont="1" applyBorder="1" applyAlignment="1">
      <alignment horizontal="center" vertical="center"/>
    </xf>
    <xf numFmtId="165" fontId="7" fillId="0" borderId="53" xfId="0" applyNumberFormat="1" applyFont="1" applyBorder="1" applyAlignment="1">
      <alignment horizontal="center" vertical="center"/>
    </xf>
    <xf numFmtId="165" fontId="5" fillId="0" borderId="3" xfId="0" applyNumberFormat="1" applyFont="1" applyFill="1" applyBorder="1" applyAlignment="1">
      <alignment horizontal="center" vertical="center"/>
    </xf>
    <xf numFmtId="165" fontId="8" fillId="0" borderId="11" xfId="0" applyNumberFormat="1" applyFont="1" applyFill="1" applyBorder="1" applyAlignment="1">
      <alignment horizontal="center" vertical="center"/>
    </xf>
    <xf numFmtId="165" fontId="8" fillId="0" borderId="3" xfId="0" applyNumberFormat="1" applyFont="1" applyFill="1" applyBorder="1" applyAlignment="1">
      <alignment horizontal="center" vertical="center"/>
    </xf>
    <xf numFmtId="165" fontId="5" fillId="0" borderId="50" xfId="0" applyNumberFormat="1" applyFont="1" applyFill="1" applyBorder="1" applyAlignment="1">
      <alignment horizontal="center" vertical="center"/>
    </xf>
    <xf numFmtId="165" fontId="5" fillId="0" borderId="40" xfId="0" applyNumberFormat="1" applyFont="1" applyFill="1" applyBorder="1" applyAlignment="1">
      <alignment horizontal="center" vertical="center"/>
    </xf>
    <xf numFmtId="165" fontId="0" fillId="0" borderId="11" xfId="0" applyNumberFormat="1" applyFill="1" applyBorder="1" applyAlignment="1">
      <alignment horizontal="center" vertical="center"/>
    </xf>
    <xf numFmtId="165" fontId="0" fillId="0" borderId="3" xfId="0" applyNumberFormat="1" applyFill="1" applyBorder="1" applyAlignment="1">
      <alignment horizontal="center" vertical="center"/>
    </xf>
    <xf numFmtId="165" fontId="0" fillId="0" borderId="13" xfId="0" applyNumberFormat="1" applyFill="1" applyBorder="1" applyAlignment="1">
      <alignment horizontal="center" vertical="center"/>
    </xf>
    <xf numFmtId="165" fontId="0" fillId="0" borderId="17" xfId="0" applyNumberFormat="1" applyFill="1" applyBorder="1" applyAlignment="1">
      <alignment horizontal="center" vertical="center"/>
    </xf>
    <xf numFmtId="0" fontId="0" fillId="0" borderId="0" xfId="0" applyAlignment="1"/>
    <xf numFmtId="165" fontId="7" fillId="0" borderId="10" xfId="0" applyNumberFormat="1" applyFont="1" applyFill="1" applyBorder="1" applyAlignment="1">
      <alignment horizontal="center" vertical="center"/>
    </xf>
    <xf numFmtId="165" fontId="7" fillId="0" borderId="14" xfId="0" applyNumberFormat="1" applyFont="1" applyFill="1" applyBorder="1" applyAlignment="1">
      <alignment horizontal="center" vertical="center"/>
    </xf>
    <xf numFmtId="165" fontId="7" fillId="0" borderId="15" xfId="0" applyNumberFormat="1" applyFont="1" applyFill="1" applyBorder="1" applyAlignment="1">
      <alignment horizontal="center" vertical="center"/>
    </xf>
    <xf numFmtId="0" fontId="18" fillId="0" borderId="0" xfId="3" applyFill="1" applyAlignment="1" applyProtection="1"/>
    <xf numFmtId="0" fontId="4" fillId="0" borderId="1" xfId="0" applyNumberFormat="1" applyFont="1" applyBorder="1" applyAlignment="1" applyProtection="1">
      <alignment vertical="center"/>
      <protection locked="0"/>
    </xf>
    <xf numFmtId="164" fontId="4" fillId="0" borderId="1" xfId="0" applyNumberFormat="1" applyFont="1" applyBorder="1" applyAlignment="1" applyProtection="1">
      <alignment vertical="center"/>
      <protection locked="0"/>
    </xf>
    <xf numFmtId="9" fontId="4" fillId="0" borderId="1" xfId="0" applyNumberFormat="1" applyFont="1" applyBorder="1" applyAlignment="1" applyProtection="1">
      <alignment horizontal="right" vertical="center"/>
      <protection locked="0"/>
    </xf>
    <xf numFmtId="165" fontId="4" fillId="0" borderId="1" xfId="0" applyNumberFormat="1" applyFont="1" applyFill="1" applyBorder="1" applyAlignment="1" applyProtection="1">
      <alignment vertical="center"/>
      <protection locked="0"/>
    </xf>
    <xf numFmtId="165" fontId="4" fillId="0" borderId="1" xfId="0" applyNumberFormat="1" applyFont="1" applyBorder="1" applyAlignment="1" applyProtection="1">
      <alignment vertical="center"/>
      <protection locked="0"/>
    </xf>
    <xf numFmtId="0" fontId="4" fillId="0" borderId="1" xfId="0" applyFont="1" applyBorder="1" applyAlignment="1" applyProtection="1">
      <alignment vertical="center"/>
      <protection locked="0"/>
    </xf>
    <xf numFmtId="0" fontId="17" fillId="2" borderId="0" xfId="0" applyFont="1" applyFill="1" applyBorder="1" applyAlignment="1" applyProtection="1">
      <alignment horizontal="center"/>
    </xf>
    <xf numFmtId="0" fontId="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xf>
    <xf numFmtId="0" fontId="7" fillId="0" borderId="0" xfId="0" applyFont="1" applyFill="1" applyAlignment="1">
      <alignment horizontal="center"/>
    </xf>
    <xf numFmtId="164" fontId="5" fillId="0" borderId="10" xfId="0" applyNumberFormat="1" applyFont="1" applyBorder="1" applyAlignment="1">
      <alignment horizontal="center" vertical="center"/>
    </xf>
    <xf numFmtId="164" fontId="5" fillId="0" borderId="11" xfId="0" applyNumberFormat="1" applyFont="1" applyBorder="1" applyAlignment="1">
      <alignment horizontal="center" vertical="center"/>
    </xf>
    <xf numFmtId="164" fontId="8" fillId="6" borderId="10" xfId="0" applyNumberFormat="1" applyFont="1" applyFill="1" applyBorder="1" applyAlignment="1">
      <alignment horizontal="center" vertical="center"/>
    </xf>
    <xf numFmtId="164" fontId="8" fillId="6" borderId="11" xfId="0" applyNumberFormat="1" applyFont="1" applyFill="1" applyBorder="1" applyAlignment="1">
      <alignment horizontal="center" vertical="center"/>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5" fillId="0" borderId="12" xfId="0" applyFont="1" applyFill="1" applyBorder="1" applyAlignment="1">
      <alignment horizontal="left" vertical="center"/>
    </xf>
    <xf numFmtId="0" fontId="5" fillId="0" borderId="14" xfId="0" applyFont="1" applyFill="1" applyBorder="1" applyAlignment="1">
      <alignment horizontal="left" vertical="center"/>
    </xf>
    <xf numFmtId="0" fontId="5" fillId="0" borderId="11" xfId="0" applyFont="1" applyFill="1" applyBorder="1" applyAlignment="1">
      <alignment horizontal="left" vertical="center"/>
    </xf>
    <xf numFmtId="0" fontId="5" fillId="0" borderId="2" xfId="0" applyFont="1" applyBorder="1" applyAlignment="1">
      <alignment horizontal="left" vertical="center"/>
    </xf>
    <xf numFmtId="0" fontId="5" fillId="0" borderId="1" xfId="0" applyFont="1" applyBorder="1" applyAlignment="1">
      <alignment horizontal="left" vertical="center"/>
    </xf>
    <xf numFmtId="0" fontId="7" fillId="6" borderId="2" xfId="0" applyFont="1" applyFill="1" applyBorder="1" applyAlignment="1">
      <alignment horizontal="left" vertical="center"/>
    </xf>
    <xf numFmtId="0" fontId="7" fillId="6" borderId="1" xfId="0" applyFont="1" applyFill="1" applyBorder="1" applyAlignment="1">
      <alignment horizontal="left" vertical="center"/>
    </xf>
    <xf numFmtId="165" fontId="7" fillId="6" borderId="23" xfId="0" applyNumberFormat="1" applyFont="1" applyFill="1" applyBorder="1" applyAlignment="1">
      <alignment horizontal="center" vertical="center"/>
    </xf>
    <xf numFmtId="165" fontId="7" fillId="6" borderId="24" xfId="0" applyNumberFormat="1" applyFont="1" applyFill="1" applyBorder="1" applyAlignment="1">
      <alignment horizontal="center" vertical="center"/>
    </xf>
    <xf numFmtId="165" fontId="7" fillId="6" borderId="25" xfId="0" applyNumberFormat="1" applyFont="1" applyFill="1" applyBorder="1" applyAlignment="1">
      <alignment horizontal="center" vertical="center"/>
    </xf>
    <xf numFmtId="0" fontId="5" fillId="0" borderId="2" xfId="0" applyFont="1" applyBorder="1" applyAlignment="1">
      <alignment vertical="center"/>
    </xf>
    <xf numFmtId="0" fontId="5" fillId="0" borderId="11" xfId="0" applyFont="1" applyBorder="1" applyAlignment="1">
      <alignment vertical="center"/>
    </xf>
    <xf numFmtId="0" fontId="0" fillId="0" borderId="1" xfId="0" applyBorder="1" applyAlignment="1">
      <alignment vertical="center"/>
    </xf>
    <xf numFmtId="0" fontId="9" fillId="0" borderId="29"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2" fillId="0" borderId="41" xfId="0" applyFont="1" applyBorder="1" applyAlignment="1">
      <alignment horizontal="left" vertical="center"/>
    </xf>
    <xf numFmtId="0" fontId="2" fillId="0" borderId="5" xfId="0" applyFont="1" applyBorder="1" applyAlignment="1">
      <alignment horizontal="left" vertical="center"/>
    </xf>
    <xf numFmtId="0" fontId="7" fillId="6" borderId="9" xfId="0" applyFont="1" applyFill="1" applyBorder="1" applyAlignment="1">
      <alignment horizontal="left" vertical="center"/>
    </xf>
    <xf numFmtId="0" fontId="7" fillId="6" borderId="24" xfId="0" applyFont="1" applyFill="1" applyBorder="1" applyAlignment="1">
      <alignment horizontal="left" vertical="center"/>
    </xf>
    <xf numFmtId="0" fontId="7" fillId="6" borderId="13" xfId="0" applyFont="1" applyFill="1" applyBorder="1" applyAlignment="1">
      <alignment horizontal="left" vertical="center"/>
    </xf>
    <xf numFmtId="0" fontId="2" fillId="0" borderId="12" xfId="0" applyFont="1" applyBorder="1" applyAlignment="1">
      <alignment horizontal="left" vertical="center"/>
    </xf>
    <xf numFmtId="0" fontId="3" fillId="0" borderId="14" xfId="0" applyFont="1" applyBorder="1" applyAlignment="1">
      <alignment horizontal="left" vertical="center"/>
    </xf>
    <xf numFmtId="0" fontId="3" fillId="0" borderId="11" xfId="0" applyFont="1" applyBorder="1" applyAlignment="1">
      <alignment horizontal="left" vertical="center"/>
    </xf>
    <xf numFmtId="0" fontId="6" fillId="0" borderId="12" xfId="0" applyFont="1" applyFill="1" applyBorder="1" applyAlignment="1">
      <alignment horizontal="left"/>
    </xf>
    <xf numFmtId="0" fontId="6" fillId="0" borderId="14" xfId="0" applyFont="1" applyFill="1" applyBorder="1" applyAlignment="1">
      <alignment horizontal="left"/>
    </xf>
    <xf numFmtId="0" fontId="6" fillId="0" borderId="11" xfId="0" applyFont="1" applyFill="1" applyBorder="1" applyAlignment="1">
      <alignment horizontal="left"/>
    </xf>
    <xf numFmtId="0" fontId="5" fillId="0" borderId="12" xfId="0" applyFont="1" applyBorder="1" applyAlignment="1">
      <alignment horizontal="left" vertical="center"/>
    </xf>
    <xf numFmtId="0" fontId="5" fillId="0" borderId="14" xfId="0" applyFont="1" applyBorder="1" applyAlignment="1">
      <alignment horizontal="left" vertical="center"/>
    </xf>
    <xf numFmtId="0" fontId="5" fillId="0" borderId="11" xfId="0" applyFont="1" applyBorder="1" applyAlignment="1">
      <alignment horizontal="left" vertical="center"/>
    </xf>
    <xf numFmtId="0" fontId="2" fillId="0" borderId="12" xfId="0" applyFont="1" applyFill="1" applyBorder="1" applyAlignment="1">
      <alignment horizontal="left" vertical="center"/>
    </xf>
    <xf numFmtId="0" fontId="2" fillId="0" borderId="14" xfId="0" applyFont="1" applyFill="1" applyBorder="1" applyAlignment="1">
      <alignment horizontal="left" vertical="center"/>
    </xf>
    <xf numFmtId="0" fontId="2" fillId="0" borderId="11" xfId="0" applyFont="1" applyFill="1" applyBorder="1" applyAlignment="1">
      <alignment horizontal="left" vertical="center"/>
    </xf>
    <xf numFmtId="0" fontId="0" fillId="0" borderId="56" xfId="0" applyBorder="1" applyAlignment="1">
      <alignment horizontal="left" vertical="center"/>
    </xf>
    <xf numFmtId="0" fontId="0" fillId="0" borderId="49" xfId="0" applyBorder="1" applyAlignment="1">
      <alignment horizontal="left" vertical="center"/>
    </xf>
    <xf numFmtId="0" fontId="0" fillId="0" borderId="35" xfId="0" applyBorder="1" applyAlignment="1">
      <alignment horizontal="left" vertical="center"/>
    </xf>
    <xf numFmtId="0" fontId="0" fillId="0" borderId="12" xfId="0" applyBorder="1" applyAlignment="1">
      <alignment horizontal="left" vertical="center"/>
    </xf>
    <xf numFmtId="0" fontId="0" fillId="0" borderId="14" xfId="0" applyBorder="1" applyAlignment="1">
      <alignment horizontal="left" vertical="center"/>
    </xf>
    <xf numFmtId="0" fontId="0" fillId="0" borderId="11" xfId="0" applyBorder="1" applyAlignment="1">
      <alignment horizontal="left" vertical="center"/>
    </xf>
    <xf numFmtId="0" fontId="7" fillId="6" borderId="54" xfId="0" applyFont="1" applyFill="1" applyBorder="1" applyAlignment="1">
      <alignment horizontal="left" vertical="center"/>
    </xf>
    <xf numFmtId="0" fontId="7" fillId="6" borderId="55" xfId="0" applyFont="1" applyFill="1" applyBorder="1" applyAlignment="1">
      <alignment horizontal="left" vertical="center"/>
    </xf>
    <xf numFmtId="0" fontId="7" fillId="6" borderId="50" xfId="0" applyFont="1" applyFill="1" applyBorder="1" applyAlignment="1">
      <alignment horizontal="left" vertical="center"/>
    </xf>
    <xf numFmtId="0" fontId="2" fillId="0" borderId="18" xfId="0" applyFont="1" applyBorder="1" applyAlignment="1">
      <alignment horizontal="left" vertical="center"/>
    </xf>
    <xf numFmtId="0" fontId="2" fillId="0" borderId="26" xfId="0" applyFont="1" applyBorder="1" applyAlignment="1">
      <alignment horizontal="left" vertical="center"/>
    </xf>
    <xf numFmtId="0" fontId="2" fillId="0" borderId="19" xfId="0" applyFont="1" applyBorder="1" applyAlignment="1">
      <alignment horizontal="left" vertical="center"/>
    </xf>
    <xf numFmtId="165" fontId="4" fillId="0" borderId="1" xfId="0" applyNumberFormat="1" applyFont="1" applyFill="1" applyBorder="1" applyAlignment="1" applyProtection="1">
      <alignment horizontal="center" vertical="center"/>
      <protection locked="0"/>
    </xf>
    <xf numFmtId="165" fontId="4" fillId="0" borderId="3" xfId="0" applyNumberFormat="1" applyFont="1" applyFill="1" applyBorder="1" applyAlignment="1" applyProtection="1">
      <alignment horizontal="center" vertical="center"/>
      <protection locked="0"/>
    </xf>
    <xf numFmtId="165" fontId="4" fillId="0" borderId="10" xfId="0" applyNumberFormat="1" applyFont="1" applyFill="1" applyBorder="1" applyAlignment="1" applyProtection="1">
      <alignment horizontal="center" vertical="center"/>
      <protection locked="0"/>
    </xf>
    <xf numFmtId="165" fontId="4" fillId="0" borderId="14" xfId="0" applyNumberFormat="1" applyFont="1" applyFill="1" applyBorder="1" applyAlignment="1" applyProtection="1">
      <alignment horizontal="center" vertical="center"/>
      <protection locked="0"/>
    </xf>
    <xf numFmtId="165" fontId="4" fillId="0" borderId="15" xfId="0" applyNumberFormat="1" applyFont="1" applyFill="1" applyBorder="1" applyAlignment="1" applyProtection="1">
      <alignment horizontal="center" vertical="center"/>
      <protection locked="0"/>
    </xf>
    <xf numFmtId="164" fontId="4" fillId="0" borderId="1" xfId="0" applyNumberFormat="1" applyFont="1" applyFill="1" applyBorder="1" applyAlignment="1">
      <alignment horizontal="center" vertical="center"/>
    </xf>
    <xf numFmtId="164" fontId="4" fillId="0" borderId="3" xfId="0" applyNumberFormat="1" applyFont="1" applyFill="1" applyBorder="1" applyAlignment="1">
      <alignment horizontal="center" vertical="center"/>
    </xf>
    <xf numFmtId="0" fontId="0" fillId="0" borderId="12" xfId="0" applyFill="1" applyBorder="1" applyAlignment="1">
      <alignment horizontal="left" vertical="center"/>
    </xf>
    <xf numFmtId="0" fontId="0" fillId="0" borderId="14" xfId="0" applyFill="1" applyBorder="1" applyAlignment="1">
      <alignment horizontal="left" vertical="center"/>
    </xf>
    <xf numFmtId="0" fontId="0" fillId="0" borderId="11" xfId="0" applyFill="1" applyBorder="1" applyAlignment="1">
      <alignment horizontal="left" vertical="center"/>
    </xf>
    <xf numFmtId="165" fontId="4" fillId="0" borderId="10" xfId="0" applyNumberFormat="1" applyFont="1" applyBorder="1" applyAlignment="1">
      <alignment horizontal="center" vertical="center"/>
    </xf>
    <xf numFmtId="165" fontId="4" fillId="0" borderId="14" xfId="0" applyNumberFormat="1" applyFont="1" applyBorder="1" applyAlignment="1">
      <alignment horizontal="center" vertical="center"/>
    </xf>
    <xf numFmtId="165" fontId="4" fillId="0" borderId="15" xfId="0" applyNumberFormat="1" applyFont="1" applyBorder="1" applyAlignment="1">
      <alignment horizontal="center" vertical="center"/>
    </xf>
    <xf numFmtId="0" fontId="7" fillId="6" borderId="12" xfId="0" applyFont="1" applyFill="1" applyBorder="1" applyAlignment="1">
      <alignment horizontal="left" vertical="center"/>
    </xf>
    <xf numFmtId="0" fontId="7" fillId="6" borderId="14" xfId="0" applyFont="1" applyFill="1" applyBorder="1" applyAlignment="1">
      <alignment horizontal="left" vertical="center"/>
    </xf>
    <xf numFmtId="0" fontId="7" fillId="6" borderId="11" xfId="0" applyFont="1" applyFill="1" applyBorder="1" applyAlignment="1">
      <alignment horizontal="left" vertical="center"/>
    </xf>
    <xf numFmtId="165" fontId="5" fillId="0" borderId="10" xfId="0" applyNumberFormat="1" applyFont="1" applyFill="1" applyBorder="1" applyAlignment="1">
      <alignment horizontal="center" vertical="center"/>
    </xf>
    <xf numFmtId="165" fontId="5" fillId="0" borderId="14" xfId="0" applyNumberFormat="1" applyFont="1" applyFill="1" applyBorder="1" applyAlignment="1">
      <alignment horizontal="center" vertical="center"/>
    </xf>
    <xf numFmtId="165" fontId="5" fillId="0" borderId="11" xfId="0" applyNumberFormat="1" applyFont="1" applyFill="1" applyBorder="1" applyAlignment="1">
      <alignment horizontal="center" vertical="center"/>
    </xf>
    <xf numFmtId="0" fontId="5" fillId="0" borderId="4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48" xfId="0" applyFont="1" applyBorder="1" applyAlignment="1">
      <alignment horizontal="center" vertical="center" wrapText="1"/>
    </xf>
    <xf numFmtId="9" fontId="16" fillId="0" borderId="29" xfId="0" applyNumberFormat="1" applyFont="1" applyBorder="1" applyAlignment="1">
      <alignment horizontal="center" vertical="center" wrapText="1"/>
    </xf>
    <xf numFmtId="9" fontId="16" fillId="0" borderId="30" xfId="0" applyNumberFormat="1" applyFont="1" applyBorder="1" applyAlignment="1">
      <alignment horizontal="center" vertical="center" wrapText="1"/>
    </xf>
    <xf numFmtId="9" fontId="16" fillId="0" borderId="31" xfId="0" applyNumberFormat="1" applyFont="1" applyBorder="1" applyAlignment="1">
      <alignment horizontal="center" vertical="center" wrapText="1"/>
    </xf>
    <xf numFmtId="0" fontId="5" fillId="0" borderId="2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52" xfId="0" applyFont="1" applyBorder="1" applyAlignment="1">
      <alignment horizontal="center" vertical="center" wrapText="1"/>
    </xf>
    <xf numFmtId="0" fontId="5" fillId="0" borderId="19"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44" xfId="0" applyFont="1" applyFill="1" applyBorder="1" applyAlignment="1">
      <alignment horizontal="center" vertical="center" wrapText="1"/>
    </xf>
    <xf numFmtId="9" fontId="16" fillId="0" borderId="6" xfId="0" applyNumberFormat="1" applyFont="1" applyBorder="1" applyAlignment="1">
      <alignment horizontal="center" vertical="center" wrapText="1"/>
    </xf>
    <xf numFmtId="9" fontId="16" fillId="0" borderId="7" xfId="0" applyNumberFormat="1" applyFont="1" applyBorder="1" applyAlignment="1">
      <alignment horizontal="center" vertical="center" wrapText="1"/>
    </xf>
    <xf numFmtId="9" fontId="16" fillId="0" borderId="8" xfId="0" applyNumberFormat="1" applyFont="1" applyBorder="1" applyAlignment="1">
      <alignment horizontal="center" vertical="center" wrapText="1"/>
    </xf>
    <xf numFmtId="165" fontId="7" fillId="6" borderId="10" xfId="0" applyNumberFormat="1" applyFont="1" applyFill="1" applyBorder="1" applyAlignment="1">
      <alignment horizontal="center" vertical="center"/>
    </xf>
    <xf numFmtId="165" fontId="7" fillId="6" borderId="14" xfId="0" applyNumberFormat="1" applyFont="1" applyFill="1" applyBorder="1" applyAlignment="1">
      <alignment horizontal="center" vertical="center"/>
    </xf>
    <xf numFmtId="165" fontId="7" fillId="6" borderId="15" xfId="0" applyNumberFormat="1" applyFont="1" applyFill="1" applyBorder="1" applyAlignment="1">
      <alignment horizontal="center" vertical="center"/>
    </xf>
    <xf numFmtId="0" fontId="5" fillId="0" borderId="43" xfId="0" applyFont="1" applyBorder="1" applyAlignment="1">
      <alignment horizontal="center" vertical="center" wrapText="1"/>
    </xf>
    <xf numFmtId="0" fontId="5" fillId="0" borderId="35" xfId="0" applyFont="1" applyBorder="1" applyAlignment="1">
      <alignment horizontal="center" vertical="center" wrapText="1"/>
    </xf>
    <xf numFmtId="9" fontId="4" fillId="0" borderId="10" xfId="0" applyNumberFormat="1" applyFont="1" applyFill="1" applyBorder="1" applyAlignment="1" applyProtection="1">
      <alignment horizontal="center" vertical="center"/>
      <protection locked="0"/>
    </xf>
    <xf numFmtId="9" fontId="4" fillId="0" borderId="14" xfId="0" applyNumberFormat="1" applyFont="1" applyFill="1" applyBorder="1" applyAlignment="1" applyProtection="1">
      <alignment horizontal="center" vertical="center"/>
      <protection locked="0"/>
    </xf>
    <xf numFmtId="9" fontId="4" fillId="0" borderId="15" xfId="0" applyNumberFormat="1" applyFont="1" applyFill="1" applyBorder="1" applyAlignment="1" applyProtection="1">
      <alignment horizontal="center" vertical="center"/>
      <protection locked="0"/>
    </xf>
    <xf numFmtId="0" fontId="7" fillId="0" borderId="12" xfId="0" applyFont="1" applyFill="1" applyBorder="1" applyAlignment="1">
      <alignment horizontal="left" vertical="center"/>
    </xf>
    <xf numFmtId="0" fontId="7" fillId="0" borderId="14" xfId="0" applyFont="1" applyFill="1" applyBorder="1" applyAlignment="1">
      <alignment horizontal="left" vertical="center"/>
    </xf>
    <xf numFmtId="0" fontId="7" fillId="0" borderId="11" xfId="0" applyFont="1" applyFill="1" applyBorder="1" applyAlignment="1">
      <alignment horizontal="left" vertical="center"/>
    </xf>
    <xf numFmtId="164" fontId="4" fillId="0" borderId="0" xfId="0" applyNumberFormat="1" applyFont="1" applyFill="1" applyBorder="1" applyAlignment="1">
      <alignment horizontal="center" vertical="center"/>
    </xf>
    <xf numFmtId="9" fontId="8" fillId="0" borderId="10" xfId="0" applyNumberFormat="1" applyFont="1" applyBorder="1" applyAlignment="1">
      <alignment horizontal="center" vertical="center"/>
    </xf>
    <xf numFmtId="9" fontId="8" fillId="0" borderId="11" xfId="0" applyNumberFormat="1" applyFont="1" applyBorder="1" applyAlignment="1">
      <alignment horizontal="center" vertical="center"/>
    </xf>
    <xf numFmtId="0" fontId="5" fillId="0" borderId="35" xfId="0" applyFont="1" applyFill="1" applyBorder="1" applyAlignment="1">
      <alignment horizontal="center" vertical="center" wrapText="1"/>
    </xf>
    <xf numFmtId="165" fontId="7" fillId="6" borderId="39" xfId="0" applyNumberFormat="1" applyFont="1" applyFill="1" applyBorder="1" applyAlignment="1">
      <alignment horizontal="center" vertical="center"/>
    </xf>
    <xf numFmtId="165" fontId="7" fillId="6" borderId="40" xfId="0" applyNumberFormat="1"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6" fillId="0" borderId="12" xfId="0" applyFont="1" applyBorder="1" applyAlignment="1">
      <alignment horizontal="left" vertical="center"/>
    </xf>
    <xf numFmtId="0" fontId="6" fillId="0" borderId="14" xfId="0" applyFont="1" applyBorder="1" applyAlignment="1">
      <alignment horizontal="left" vertical="center"/>
    </xf>
    <xf numFmtId="0" fontId="6" fillId="0" borderId="11" xfId="0" applyFont="1" applyBorder="1" applyAlignment="1">
      <alignment horizontal="left" vertical="center"/>
    </xf>
    <xf numFmtId="164" fontId="4" fillId="0" borderId="10" xfId="0" applyNumberFormat="1" applyFont="1" applyFill="1" applyBorder="1" applyAlignment="1">
      <alignment horizontal="center" vertical="center"/>
    </xf>
    <xf numFmtId="164" fontId="4" fillId="0" borderId="14" xfId="0" applyNumberFormat="1" applyFont="1" applyFill="1" applyBorder="1" applyAlignment="1">
      <alignment horizontal="center" vertical="center"/>
    </xf>
    <xf numFmtId="0" fontId="0" fillId="0" borderId="15" xfId="0"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165" fontId="5" fillId="0" borderId="10" xfId="0" applyNumberFormat="1" applyFont="1" applyFill="1" applyBorder="1" applyAlignment="1">
      <alignment horizontal="center"/>
    </xf>
    <xf numFmtId="165" fontId="5" fillId="0" borderId="14" xfId="0" applyNumberFormat="1" applyFont="1" applyFill="1" applyBorder="1" applyAlignment="1">
      <alignment horizontal="center"/>
    </xf>
    <xf numFmtId="165" fontId="5" fillId="0" borderId="11" xfId="0" applyNumberFormat="1" applyFont="1" applyFill="1" applyBorder="1" applyAlignment="1">
      <alignment horizontal="center"/>
    </xf>
    <xf numFmtId="165" fontId="10" fillId="2" borderId="1" xfId="0" applyNumberFormat="1" applyFont="1" applyFill="1" applyBorder="1" applyAlignment="1">
      <alignment horizontal="center"/>
    </xf>
    <xf numFmtId="165" fontId="10" fillId="2" borderId="3" xfId="0" applyNumberFormat="1" applyFont="1" applyFill="1" applyBorder="1" applyAlignment="1">
      <alignment horizontal="center"/>
    </xf>
    <xf numFmtId="9" fontId="7" fillId="2" borderId="10" xfId="0" applyNumberFormat="1" applyFont="1" applyFill="1" applyBorder="1" applyAlignment="1">
      <alignment horizontal="center"/>
    </xf>
    <xf numFmtId="9" fontId="7" fillId="2" borderId="14" xfId="0" applyNumberFormat="1" applyFont="1" applyFill="1" applyBorder="1" applyAlignment="1">
      <alignment horizontal="center"/>
    </xf>
    <xf numFmtId="9" fontId="7" fillId="2" borderId="15" xfId="0" applyNumberFormat="1" applyFont="1" applyFill="1" applyBorder="1" applyAlignment="1">
      <alignment horizontal="center"/>
    </xf>
    <xf numFmtId="164" fontId="7" fillId="2" borderId="23" xfId="0" applyNumberFormat="1" applyFont="1" applyFill="1" applyBorder="1" applyAlignment="1">
      <alignment horizontal="center"/>
    </xf>
    <xf numFmtId="164" fontId="7" fillId="2" borderId="24" xfId="0" applyNumberFormat="1" applyFont="1" applyFill="1" applyBorder="1" applyAlignment="1">
      <alignment horizontal="center"/>
    </xf>
    <xf numFmtId="164" fontId="7" fillId="2" borderId="25" xfId="0" applyNumberFormat="1" applyFont="1" applyFill="1" applyBorder="1" applyAlignment="1">
      <alignment horizontal="center"/>
    </xf>
    <xf numFmtId="165" fontId="8" fillId="0" borderId="10" xfId="0" applyNumberFormat="1" applyFont="1" applyFill="1" applyBorder="1" applyAlignment="1">
      <alignment horizontal="center"/>
    </xf>
    <xf numFmtId="165" fontId="8" fillId="0" borderId="14" xfId="0" applyNumberFormat="1" applyFont="1" applyFill="1" applyBorder="1" applyAlignment="1">
      <alignment horizontal="center"/>
    </xf>
    <xf numFmtId="165" fontId="8" fillId="0" borderId="15" xfId="0" applyNumberFormat="1" applyFont="1" applyFill="1" applyBorder="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0" fontId="9" fillId="0" borderId="8" xfId="0" applyFont="1" applyBorder="1" applyAlignment="1">
      <alignment horizontal="center"/>
    </xf>
    <xf numFmtId="165" fontId="8" fillId="0" borderId="20" xfId="0" applyNumberFormat="1" applyFont="1" applyFill="1" applyBorder="1" applyAlignment="1">
      <alignment horizontal="center"/>
    </xf>
    <xf numFmtId="165" fontId="8" fillId="0" borderId="10" xfId="0" applyNumberFormat="1" applyFont="1" applyBorder="1" applyAlignment="1">
      <alignment horizontal="center"/>
    </xf>
    <xf numFmtId="165" fontId="8" fillId="0" borderId="14" xfId="0" applyNumberFormat="1" applyFont="1" applyBorder="1" applyAlignment="1">
      <alignment horizontal="center"/>
    </xf>
    <xf numFmtId="165" fontId="8" fillId="0" borderId="15" xfId="0" applyNumberFormat="1" applyFont="1" applyBorder="1" applyAlignment="1">
      <alignment horizontal="center"/>
    </xf>
    <xf numFmtId="164" fontId="7" fillId="2" borderId="34" xfId="0" applyNumberFormat="1" applyFont="1" applyFill="1" applyBorder="1" applyAlignment="1">
      <alignment horizontal="center"/>
    </xf>
    <xf numFmtId="164" fontId="7" fillId="2" borderId="27" xfId="0" applyNumberFormat="1" applyFont="1" applyFill="1" applyBorder="1" applyAlignment="1">
      <alignment horizontal="center"/>
    </xf>
    <xf numFmtId="164" fontId="7" fillId="2" borderId="28" xfId="0" applyNumberFormat="1" applyFont="1" applyFill="1" applyBorder="1" applyAlignment="1">
      <alignment horizontal="center"/>
    </xf>
  </cellXfs>
  <cellStyles count="4">
    <cellStyle name="Currency" xfId="1" builtinId="4"/>
    <cellStyle name="Hyperlink" xfId="3" builtinId="8"/>
    <cellStyle name="Normal" xfId="0" builtinId="0"/>
    <cellStyle name="Percent" xfId="2" builtinId="5"/>
  </cellStyles>
  <dxfs count="3">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colors>
    <mruColors>
      <color rgb="FFFF5050"/>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563561</xdr:colOff>
      <xdr:row>3</xdr:row>
      <xdr:rowOff>15875</xdr:rowOff>
    </xdr:from>
    <xdr:to>
      <xdr:col>7</xdr:col>
      <xdr:colOff>150811</xdr:colOff>
      <xdr:row>6</xdr:row>
      <xdr:rowOff>157605</xdr:rowOff>
    </xdr:to>
    <xdr:pic>
      <xdr:nvPicPr>
        <xdr:cNvPr id="3" name="Picture 2" descr="AgEcon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3374" y="627063"/>
          <a:ext cx="2984500" cy="61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350801</xdr:colOff>
      <xdr:row>21</xdr:row>
      <xdr:rowOff>143233</xdr:rowOff>
    </xdr:from>
    <xdr:to>
      <xdr:col>9</xdr:col>
      <xdr:colOff>94505</xdr:colOff>
      <xdr:row>26</xdr:row>
      <xdr:rowOff>31880</xdr:rowOff>
    </xdr:to>
    <xdr:pic>
      <xdr:nvPicPr>
        <xdr:cNvPr id="10"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751" y="4296133"/>
          <a:ext cx="6563604" cy="69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xdr:row>
      <xdr:rowOff>0</xdr:rowOff>
    </xdr:from>
    <xdr:to>
      <xdr:col>7</xdr:col>
      <xdr:colOff>61225</xdr:colOff>
      <xdr:row>25</xdr:row>
      <xdr:rowOff>127748</xdr:rowOff>
    </xdr:to>
    <xdr:pic>
      <xdr:nvPicPr>
        <xdr:cNvPr id="11" name="Picture 10" descr="ces-footer-black"/>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4638675"/>
          <a:ext cx="5319025" cy="289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537125</xdr:colOff>
      <xdr:row>24</xdr:row>
      <xdr:rowOff>143234</xdr:rowOff>
    </xdr:from>
    <xdr:ext cx="5949462" cy="186269"/>
    <xdr:sp macro="" textlink="">
      <xdr:nvSpPr>
        <xdr:cNvPr id="12" name="TextBox 11"/>
        <xdr:cNvSpPr txBox="1"/>
      </xdr:nvSpPr>
      <xdr:spPr>
        <a:xfrm>
          <a:off x="899075" y="4781909"/>
          <a:ext cx="5949462" cy="186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6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600">
              <a:effectLst/>
            </a:rPr>
            <a:t> </a:t>
          </a:r>
          <a:endParaRPr lang="en-US" sz="6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Samantha.Kindred@uky.edu" TargetMode="External"/><Relationship Id="rId1" Type="http://schemas.openxmlformats.org/officeDocument/2006/relationships/hyperlink" Target="mailto:Greg.Halich@uky.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7"/>
  <sheetViews>
    <sheetView showGridLines="0" zoomScale="120" zoomScaleNormal="120" workbookViewId="0">
      <selection activeCell="C17" sqref="C17:H17"/>
    </sheetView>
  </sheetViews>
  <sheetFormatPr defaultRowHeight="12.75" x14ac:dyDescent="0.2"/>
  <cols>
    <col min="2" max="10" width="12.7109375" customWidth="1"/>
  </cols>
  <sheetData>
    <row r="2" spans="2:10" ht="23.25" x14ac:dyDescent="0.35">
      <c r="B2" s="189" t="s">
        <v>159</v>
      </c>
      <c r="C2" s="189"/>
      <c r="D2" s="189"/>
      <c r="E2" s="189"/>
      <c r="F2" s="189"/>
      <c r="G2" s="189"/>
      <c r="H2" s="189"/>
      <c r="I2" s="189"/>
      <c r="J2" s="189"/>
    </row>
    <row r="9" spans="2:10" ht="62.25" customHeight="1" x14ac:dyDescent="0.2">
      <c r="C9" s="190" t="s">
        <v>161</v>
      </c>
      <c r="D9" s="191"/>
      <c r="E9" s="191"/>
      <c r="F9" s="191"/>
      <c r="G9" s="191"/>
      <c r="H9" s="191"/>
      <c r="I9" s="192"/>
    </row>
    <row r="11" spans="2:10" x14ac:dyDescent="0.2">
      <c r="C11" s="193" t="s">
        <v>150</v>
      </c>
      <c r="D11" s="193"/>
      <c r="E11" s="193"/>
      <c r="F11" s="193"/>
      <c r="G11" s="193"/>
      <c r="H11" s="193"/>
      <c r="I11" s="193"/>
    </row>
    <row r="12" spans="2:10" x14ac:dyDescent="0.2">
      <c r="D12" s="11" t="s">
        <v>151</v>
      </c>
      <c r="F12" s="163"/>
      <c r="H12" s="163" t="s">
        <v>152</v>
      </c>
    </row>
    <row r="13" spans="2:10" x14ac:dyDescent="0.2">
      <c r="D13" s="163" t="s">
        <v>153</v>
      </c>
      <c r="F13" s="163"/>
      <c r="H13" s="163" t="s">
        <v>154</v>
      </c>
    </row>
    <row r="14" spans="2:10" x14ac:dyDescent="0.2">
      <c r="D14" s="182" t="s">
        <v>155</v>
      </c>
      <c r="F14" s="182"/>
      <c r="H14" s="182" t="s">
        <v>156</v>
      </c>
    </row>
    <row r="15" spans="2:10" x14ac:dyDescent="0.2">
      <c r="D15" s="11" t="s">
        <v>157</v>
      </c>
      <c r="F15" s="163"/>
      <c r="H15" s="11" t="s">
        <v>158</v>
      </c>
    </row>
    <row r="17" spans="3:8" x14ac:dyDescent="0.2">
      <c r="C17" s="193" t="s">
        <v>160</v>
      </c>
      <c r="D17" s="193"/>
      <c r="E17" s="193"/>
      <c r="F17" s="193"/>
      <c r="G17" s="193"/>
      <c r="H17" s="193"/>
    </row>
  </sheetData>
  <sheetProtection password="8997" sheet="1" objects="1" scenarios="1" formatCells="0" formatColumns="0" formatRows="0"/>
  <mergeCells count="4">
    <mergeCell ref="B2:J2"/>
    <mergeCell ref="C9:I9"/>
    <mergeCell ref="C11:I11"/>
    <mergeCell ref="C17:H17"/>
  </mergeCells>
  <hyperlinks>
    <hyperlink ref="D14" r:id="rId1"/>
    <hyperlink ref="H14" r:id="rId2"/>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92"/>
  <sheetViews>
    <sheetView showGridLines="0" workbookViewId="0">
      <selection activeCell="C61" sqref="C61"/>
    </sheetView>
  </sheetViews>
  <sheetFormatPr defaultRowHeight="12.75" x14ac:dyDescent="0.2"/>
  <cols>
    <col min="1" max="1" width="2.42578125" customWidth="1"/>
    <col min="2" max="2" width="38.85546875" customWidth="1"/>
    <col min="3" max="3" width="12.140625" bestFit="1" customWidth="1"/>
    <col min="4" max="7" width="9.7109375" customWidth="1"/>
    <col min="8" max="8" width="3.42578125" customWidth="1"/>
    <col min="9" max="9" width="59.28515625" customWidth="1"/>
  </cols>
  <sheetData>
    <row r="1" spans="2:10" ht="13.5" thickBot="1" x14ac:dyDescent="0.25"/>
    <row r="2" spans="2:10" ht="17.25" thickTop="1" thickBot="1" x14ac:dyDescent="0.3">
      <c r="B2" s="334" t="s">
        <v>29</v>
      </c>
      <c r="C2" s="335"/>
      <c r="D2" s="335"/>
      <c r="E2" s="335"/>
      <c r="F2" s="335"/>
      <c r="G2" s="336"/>
      <c r="I2" s="7"/>
    </row>
    <row r="3" spans="2:10" ht="13.5" thickTop="1" x14ac:dyDescent="0.2">
      <c r="B3" s="68" t="s">
        <v>14</v>
      </c>
      <c r="C3" s="337"/>
      <c r="D3" s="337"/>
      <c r="E3" s="131"/>
      <c r="F3" s="131"/>
      <c r="G3" s="69"/>
      <c r="I3" s="7" t="s">
        <v>18</v>
      </c>
    </row>
    <row r="4" spans="2:10" x14ac:dyDescent="0.2">
      <c r="B4" s="17" t="s">
        <v>31</v>
      </c>
      <c r="C4" s="331">
        <f>'Base Lease Info'!F21</f>
        <v>150</v>
      </c>
      <c r="D4" s="332"/>
      <c r="E4" s="332"/>
      <c r="F4" s="332"/>
      <c r="G4" s="333"/>
      <c r="I4" s="7"/>
    </row>
    <row r="5" spans="2:10" x14ac:dyDescent="0.2">
      <c r="B5" s="17" t="s">
        <v>10</v>
      </c>
      <c r="C5" s="338">
        <f>'Base Lease Info'!F10</f>
        <v>125</v>
      </c>
      <c r="D5" s="339"/>
      <c r="E5" s="339"/>
      <c r="F5" s="339"/>
      <c r="G5" s="340"/>
      <c r="H5" s="15"/>
      <c r="I5" s="11"/>
    </row>
    <row r="6" spans="2:10" x14ac:dyDescent="0.2">
      <c r="B6" s="17" t="s">
        <v>32</v>
      </c>
      <c r="C6" s="331" t="str">
        <f>'Base Lease Info'!F11</f>
        <v>No</v>
      </c>
      <c r="D6" s="332"/>
      <c r="E6" s="332"/>
      <c r="F6" s="332"/>
      <c r="G6" s="333"/>
      <c r="H6" s="15"/>
      <c r="I6" s="11" t="s">
        <v>62</v>
      </c>
    </row>
    <row r="7" spans="2:10" x14ac:dyDescent="0.2">
      <c r="B7" s="17"/>
      <c r="C7" s="12" t="s">
        <v>22</v>
      </c>
      <c r="D7" s="12" t="s">
        <v>23</v>
      </c>
      <c r="E7" s="12" t="s">
        <v>73</v>
      </c>
      <c r="F7" s="12" t="s">
        <v>74</v>
      </c>
      <c r="G7" s="35" t="s">
        <v>76</v>
      </c>
      <c r="H7" s="15"/>
      <c r="I7" s="11"/>
    </row>
    <row r="8" spans="2:10" x14ac:dyDescent="0.2">
      <c r="B8" s="17" t="s">
        <v>28</v>
      </c>
      <c r="C8" s="13">
        <f>SUM('Base Lease Info'!F25:F27) + $C5</f>
        <v>600</v>
      </c>
      <c r="D8" s="13">
        <f>SUM('Base Lease Info'!G25:G27) + $C5</f>
        <v>405</v>
      </c>
      <c r="E8" s="13">
        <f>SUM('Base Lease Info'!H25:H27) + $C5</f>
        <v>395</v>
      </c>
      <c r="F8" s="13">
        <f>SUM('Base Lease Info'!I25:I27) + $C5</f>
        <v>400</v>
      </c>
      <c r="G8" s="70">
        <f>E8+F8</f>
        <v>795</v>
      </c>
      <c r="H8" s="15"/>
      <c r="I8" s="11" t="s">
        <v>54</v>
      </c>
    </row>
    <row r="9" spans="2:10" x14ac:dyDescent="0.2">
      <c r="B9" s="17" t="s">
        <v>11</v>
      </c>
      <c r="C9" s="30">
        <f>'Base Lease Info'!F16</f>
        <v>475</v>
      </c>
      <c r="D9" s="30">
        <f>'Base Lease Info'!G16</f>
        <v>325</v>
      </c>
      <c r="E9" s="30">
        <f>'Base Lease Info'!H16</f>
        <v>325</v>
      </c>
      <c r="F9" s="30">
        <f>'Base Lease Info'!I16</f>
        <v>250</v>
      </c>
      <c r="G9" s="70">
        <f>E9+F9</f>
        <v>575</v>
      </c>
      <c r="I9" s="11" t="s">
        <v>38</v>
      </c>
      <c r="J9" s="1"/>
    </row>
    <row r="10" spans="2:10" x14ac:dyDescent="0.2">
      <c r="B10" s="18" t="s">
        <v>12</v>
      </c>
      <c r="C10" s="31">
        <f>'Base Lease Info'!F17</f>
        <v>0.35</v>
      </c>
      <c r="D10" s="31">
        <f>'Base Lease Info'!G17</f>
        <v>0.4</v>
      </c>
      <c r="E10" s="31">
        <f>'Base Lease Info'!H17</f>
        <v>0.35</v>
      </c>
      <c r="F10" s="31">
        <f>'Base Lease Info'!I17</f>
        <v>0.35</v>
      </c>
      <c r="G10" s="71">
        <f>E10*(E17/G17) + F10*(F17/G17)</f>
        <v>0.35</v>
      </c>
      <c r="H10" s="15"/>
      <c r="I10" s="11" t="s">
        <v>39</v>
      </c>
    </row>
    <row r="11" spans="2:10" x14ac:dyDescent="0.2">
      <c r="B11" s="18" t="s">
        <v>55</v>
      </c>
      <c r="C11" s="10">
        <f>IF($C6='Base Lease Info'!$J$75,(C19+C20-C9)*C10,IF((C19 + C20) &gt; C9,(C19+C20-C9)*C10,0))</f>
        <v>78.75</v>
      </c>
      <c r="D11" s="10">
        <f>IF($C6='Base Lease Info'!$J$75,(D19+D20-D9)*D10,IF((D19 + D20) &gt; D9,(D19+D20-D9)*D10,0))</f>
        <v>68</v>
      </c>
      <c r="E11" s="10">
        <f>IF($C6='Base Lease Info'!$J$75,(E19+E20-E9)*E10,IF((E19 + E20) &gt; E9,(E19+E20-E9)*E10,0))</f>
        <v>10.9375</v>
      </c>
      <c r="F11" s="10">
        <f>IF($C6='Base Lease Info'!$J$75,(F19+F20-F9)*F10,IF((F19 + F20) &gt; F9,(F19+F20-F9)*F10,0))</f>
        <v>63.699999999999996</v>
      </c>
      <c r="G11" s="36">
        <f>IF($C6='Base Lease Info'!$J$75,(G19+G20-G9)*G10,IF((G19 + G20) &gt; G9,(G19+G20-G9)*G10,0))</f>
        <v>74.637499999999989</v>
      </c>
      <c r="H11" s="15"/>
      <c r="I11" s="11" t="s">
        <v>57</v>
      </c>
    </row>
    <row r="12" spans="2:10" ht="15.75" x14ac:dyDescent="0.25">
      <c r="B12" s="19" t="s">
        <v>56</v>
      </c>
      <c r="C12" s="9">
        <f>IF($C6='Base Lease Info'!$J$75,$C5+(C19+C20-C9)*C10,IF((C19 + C20) &gt; C9,$C5+(C19+C20-C9)*C10,$C5))</f>
        <v>203.75</v>
      </c>
      <c r="D12" s="9">
        <f>IF($C6='Base Lease Info'!$J$75,$C5+(D19+D20-D9)*D10,IF((D19 + D20) &gt; D9,$C5+(D19+D20-D9)*D10,$C5))</f>
        <v>193</v>
      </c>
      <c r="E12" s="9">
        <f>IF($C6='Base Lease Info'!$J$75,$C5/2+(E19+E20-E9)*E10,IF((E19 + E20) &gt; E9,$C5/2+(E19+E20-E9)*E10,$C5/2))</f>
        <v>73.4375</v>
      </c>
      <c r="F12" s="9">
        <f>IF($C6='Base Lease Info'!$J$75,$C5/2+(F19+F20-F9)*F10,IF((F19 + F20) &gt; F9,$C5/2+(F19+F20-F9)*F10,$C5/2))</f>
        <v>126.19999999999999</v>
      </c>
      <c r="G12" s="72">
        <f>IF($C6='Base Lease Info'!$J$75,$C5+(G19+G20-G9)*G10,IF((G19 + G20) &gt; G9,$C5+(G19+G20-G9)*G10,$C5))</f>
        <v>199.63749999999999</v>
      </c>
      <c r="I12" t="s">
        <v>40</v>
      </c>
    </row>
    <row r="13" spans="2:10" ht="15.75" x14ac:dyDescent="0.25">
      <c r="B13" s="19" t="s">
        <v>58</v>
      </c>
      <c r="C13" s="323">
        <f>IF('Base Lease Info'!F12='Base Lease Info'!L75,C12*'Base Lease Info'!F8 + D12*'Base Lease Info'!G8 + G12*'Base Lease Info'!J8, C12*'Base Lease Info'!F8 + D12*'Base Lease Info'!G8 + E12*'Base Lease Info'!H8 + F12*'Base Lease Info'!H8)</f>
        <v>200.03437500000001</v>
      </c>
      <c r="D13" s="323"/>
      <c r="E13" s="323"/>
      <c r="F13" s="323"/>
      <c r="G13" s="324"/>
      <c r="I13" t="s">
        <v>48</v>
      </c>
    </row>
    <row r="14" spans="2:10" x14ac:dyDescent="0.2">
      <c r="B14" s="17" t="s">
        <v>19</v>
      </c>
      <c r="C14" s="325">
        <f>C13/$C4-1</f>
        <v>0.33356249999999998</v>
      </c>
      <c r="D14" s="326"/>
      <c r="E14" s="326"/>
      <c r="F14" s="326"/>
      <c r="G14" s="327"/>
      <c r="I14" t="s">
        <v>49</v>
      </c>
    </row>
    <row r="15" spans="2:10" x14ac:dyDescent="0.2">
      <c r="B15" s="17"/>
      <c r="C15" s="8"/>
      <c r="D15" s="8"/>
      <c r="E15" s="8"/>
      <c r="F15" s="8"/>
      <c r="G15" s="73"/>
    </row>
    <row r="16" spans="2:10" x14ac:dyDescent="0.2">
      <c r="B16" s="20" t="s">
        <v>20</v>
      </c>
      <c r="C16" s="12" t="s">
        <v>22</v>
      </c>
      <c r="D16" s="12" t="s">
        <v>23</v>
      </c>
      <c r="E16" s="12" t="s">
        <v>73</v>
      </c>
      <c r="F16" s="12" t="s">
        <v>74</v>
      </c>
      <c r="G16" s="35" t="s">
        <v>76</v>
      </c>
    </row>
    <row r="17" spans="2:9" x14ac:dyDescent="0.2">
      <c r="B17" s="17" t="s">
        <v>0</v>
      </c>
      <c r="C17" s="148">
        <f>'Base Lease Info'!F67</f>
        <v>175</v>
      </c>
      <c r="D17" s="148">
        <f>'Base Lease Info'!G67</f>
        <v>55</v>
      </c>
      <c r="E17" s="148">
        <f>'Base Lease Info'!H67</f>
        <v>75</v>
      </c>
      <c r="F17" s="148">
        <f>'Base Lease Info'!I67</f>
        <v>48</v>
      </c>
      <c r="G17" s="74">
        <f>E17+F17</f>
        <v>123</v>
      </c>
      <c r="I17" t="s">
        <v>26</v>
      </c>
    </row>
    <row r="18" spans="2:9" x14ac:dyDescent="0.2">
      <c r="B18" s="17" t="s">
        <v>21</v>
      </c>
      <c r="C18" s="149">
        <f>'Base Lease Info'!F68</f>
        <v>4</v>
      </c>
      <c r="D18" s="149">
        <f>'Base Lease Info'!G68</f>
        <v>9</v>
      </c>
      <c r="E18" s="149">
        <f>'Base Lease Info'!H68</f>
        <v>4.75</v>
      </c>
      <c r="F18" s="26">
        <f>D18</f>
        <v>9</v>
      </c>
      <c r="G18" s="81">
        <f>E18*(E17/G17) + F18*(F17/G17)</f>
        <v>6.4085365853658534</v>
      </c>
      <c r="I18" t="s">
        <v>27</v>
      </c>
    </row>
    <row r="19" spans="2:9" x14ac:dyDescent="0.2">
      <c r="B19" s="17" t="s">
        <v>5</v>
      </c>
      <c r="C19" s="3">
        <f>C17*C18</f>
        <v>700</v>
      </c>
      <c r="D19" s="3">
        <f>D17*D18</f>
        <v>495</v>
      </c>
      <c r="E19" s="3">
        <f>E17*E18</f>
        <v>356.25</v>
      </c>
      <c r="F19" s="3">
        <f>F17*F18</f>
        <v>432</v>
      </c>
      <c r="G19" s="46">
        <f>G17*G18</f>
        <v>788.25</v>
      </c>
      <c r="I19" t="s">
        <v>41</v>
      </c>
    </row>
    <row r="20" spans="2:9" x14ac:dyDescent="0.2">
      <c r="B20" s="17" t="s">
        <v>13</v>
      </c>
      <c r="C20" s="135">
        <f>IF('Base Lease Info'!$F6='Base Lease Info'!$J$75,'Base Lease Info'!$E88,0)</f>
        <v>0</v>
      </c>
      <c r="D20" s="135">
        <f>IF('Base Lease Info'!$F6='Base Lease Info'!$J$75,'Base Lease Info'!$E88,0)</f>
        <v>0</v>
      </c>
      <c r="E20" s="135">
        <f>IF('Base Lease Info'!$F6='Base Lease Info'!$J$75,'Base Lease Info'!$E88,0)</f>
        <v>0</v>
      </c>
      <c r="F20" s="135">
        <f>IF('Base Lease Info'!$F6='Base Lease Info'!$J$75,'Base Lease Info'!$E88,0)</f>
        <v>0</v>
      </c>
      <c r="G20" s="136">
        <f>IF('Base Lease Info'!$F6='Base Lease Info'!$J$75,'Base Lease Info'!$E88,0)</f>
        <v>0</v>
      </c>
      <c r="I20" s="25" t="s">
        <v>63</v>
      </c>
    </row>
    <row r="21" spans="2:9" x14ac:dyDescent="0.2">
      <c r="B21" s="27" t="s">
        <v>107</v>
      </c>
      <c r="C21" s="137">
        <f>'Base Lease Info'!E80</f>
        <v>0</v>
      </c>
      <c r="D21" s="137">
        <f>'Base Lease Info'!F80</f>
        <v>0</v>
      </c>
      <c r="E21" s="137">
        <f>'Base Lease Info'!G80</f>
        <v>0</v>
      </c>
      <c r="F21" s="137">
        <f>'Base Lease Info'!H80</f>
        <v>0</v>
      </c>
      <c r="G21" s="138">
        <f>'Base Lease Info'!I80</f>
        <v>0</v>
      </c>
      <c r="I21" s="25"/>
    </row>
    <row r="22" spans="2:9" x14ac:dyDescent="0.2">
      <c r="B22" s="24" t="s">
        <v>43</v>
      </c>
      <c r="C22" s="14">
        <f>SUM(C19:C21)</f>
        <v>700</v>
      </c>
      <c r="D22" s="14">
        <f t="shared" ref="D22:G22" si="0">SUM(D19:D21)</f>
        <v>495</v>
      </c>
      <c r="E22" s="14">
        <f t="shared" si="0"/>
        <v>356.25</v>
      </c>
      <c r="F22" s="14">
        <f>SUM(F19:F21)</f>
        <v>432</v>
      </c>
      <c r="G22" s="76">
        <f t="shared" si="0"/>
        <v>788.25</v>
      </c>
      <c r="I22" t="s">
        <v>42</v>
      </c>
    </row>
    <row r="23" spans="2:9" x14ac:dyDescent="0.2">
      <c r="B23" s="24"/>
      <c r="C23" s="14"/>
      <c r="D23" s="14"/>
      <c r="E23" s="14"/>
      <c r="F23" s="14"/>
      <c r="G23" s="76"/>
    </row>
    <row r="24" spans="2:9" x14ac:dyDescent="0.2">
      <c r="B24" s="40" t="s">
        <v>79</v>
      </c>
      <c r="C24" s="14"/>
      <c r="D24" s="14"/>
      <c r="E24" s="14"/>
      <c r="F24" s="14"/>
      <c r="G24" s="76"/>
    </row>
    <row r="25" spans="2:9" x14ac:dyDescent="0.2">
      <c r="B25" s="27" t="s">
        <v>81</v>
      </c>
      <c r="C25" s="95">
        <v>0.8</v>
      </c>
      <c r="D25" s="96"/>
      <c r="E25" s="96"/>
      <c r="F25" s="4"/>
      <c r="G25" s="37"/>
    </row>
    <row r="26" spans="2:9" x14ac:dyDescent="0.2">
      <c r="B26" s="27" t="s">
        <v>80</v>
      </c>
      <c r="C26" s="95">
        <v>0.5</v>
      </c>
      <c r="D26" s="95">
        <v>0.4</v>
      </c>
      <c r="E26" s="95">
        <f>1-C26-D26</f>
        <v>9.9999999999999978E-2</v>
      </c>
      <c r="F26" s="3"/>
      <c r="G26" s="39"/>
    </row>
    <row r="27" spans="2:9" x14ac:dyDescent="0.2">
      <c r="B27" s="27" t="s">
        <v>82</v>
      </c>
      <c r="C27" s="93">
        <v>3.7</v>
      </c>
      <c r="D27" s="93">
        <v>8.4</v>
      </c>
      <c r="E27" s="93">
        <v>5.5</v>
      </c>
      <c r="F27" s="3"/>
      <c r="G27" s="39"/>
    </row>
    <row r="28" spans="2:9" x14ac:dyDescent="0.2">
      <c r="B28" s="27" t="s">
        <v>83</v>
      </c>
      <c r="C28" s="97">
        <v>155</v>
      </c>
      <c r="D28" s="97">
        <v>48</v>
      </c>
      <c r="E28" s="97">
        <v>60</v>
      </c>
      <c r="F28" s="28"/>
      <c r="G28" s="77"/>
    </row>
    <row r="29" spans="2:9" x14ac:dyDescent="0.2">
      <c r="B29" s="27" t="s">
        <v>84</v>
      </c>
      <c r="C29" s="94">
        <f>IF(C19&lt;C27,(C27-C19)*C28*0.85,0)</f>
        <v>0</v>
      </c>
      <c r="D29" s="94">
        <f t="shared" ref="D29:E29" si="1">IF(D19&lt;D27,(D27-D19)*D28*0.85,0)</f>
        <v>0</v>
      </c>
      <c r="E29" s="94">
        <f t="shared" si="1"/>
        <v>0</v>
      </c>
      <c r="F29" s="28"/>
      <c r="G29" s="77"/>
    </row>
    <row r="30" spans="2:9" x14ac:dyDescent="0.2">
      <c r="B30" s="27" t="s">
        <v>85</v>
      </c>
      <c r="C30" s="320">
        <f>(C29*C26+D29*D26+E29*E26)*C25</f>
        <v>0</v>
      </c>
      <c r="D30" s="321"/>
      <c r="E30" s="322"/>
      <c r="F30" s="3"/>
      <c r="G30" s="39"/>
    </row>
    <row r="31" spans="2:9" x14ac:dyDescent="0.2">
      <c r="B31" s="27"/>
      <c r="C31" s="29"/>
      <c r="D31" s="3"/>
      <c r="E31" s="3"/>
      <c r="F31" s="3"/>
      <c r="G31" s="39"/>
    </row>
    <row r="32" spans="2:9" x14ac:dyDescent="0.2">
      <c r="B32" s="17"/>
      <c r="C32" s="2"/>
      <c r="D32" s="2"/>
      <c r="E32" s="2"/>
      <c r="F32" s="2"/>
      <c r="G32" s="78"/>
    </row>
    <row r="33" spans="2:9" x14ac:dyDescent="0.2">
      <c r="B33" s="16" t="s">
        <v>1</v>
      </c>
      <c r="C33" s="2"/>
      <c r="D33" s="2"/>
      <c r="E33" s="2"/>
      <c r="F33" s="2"/>
      <c r="G33" s="78"/>
    </row>
    <row r="34" spans="2:9" x14ac:dyDescent="0.2">
      <c r="B34" s="17" t="s">
        <v>2</v>
      </c>
      <c r="C34" s="3">
        <f>'Base Lease Info'!F25</f>
        <v>275</v>
      </c>
      <c r="D34" s="3">
        <f>'Base Lease Info'!G25</f>
        <v>150</v>
      </c>
      <c r="E34" s="3">
        <f>'Base Lease Info'!H25</f>
        <v>140</v>
      </c>
      <c r="F34" s="3">
        <f>'Base Lease Info'!I25</f>
        <v>150</v>
      </c>
      <c r="G34" s="39">
        <f>E34+F34</f>
        <v>290</v>
      </c>
      <c r="I34" t="s">
        <v>45</v>
      </c>
    </row>
    <row r="35" spans="2:9" x14ac:dyDescent="0.2">
      <c r="B35" s="17" t="s">
        <v>6</v>
      </c>
      <c r="C35" s="3">
        <f>'Base Lease Info'!F26</f>
        <v>140</v>
      </c>
      <c r="D35" s="3">
        <f>'Base Lease Info'!G26</f>
        <v>90</v>
      </c>
      <c r="E35" s="3">
        <f>'Base Lease Info'!H26</f>
        <v>90</v>
      </c>
      <c r="F35" s="3">
        <f>'Base Lease Info'!I26</f>
        <v>85</v>
      </c>
      <c r="G35" s="39">
        <f t="shared" ref="G35:G36" si="2">E35+F35</f>
        <v>175</v>
      </c>
      <c r="I35" t="s">
        <v>46</v>
      </c>
    </row>
    <row r="36" spans="2:9" x14ac:dyDescent="0.2">
      <c r="B36" s="17" t="s">
        <v>3</v>
      </c>
      <c r="C36" s="3">
        <f>'Base Lease Info'!F27</f>
        <v>60</v>
      </c>
      <c r="D36" s="3">
        <f>'Base Lease Info'!G27</f>
        <v>40</v>
      </c>
      <c r="E36" s="3">
        <f>'Base Lease Info'!H27</f>
        <v>40</v>
      </c>
      <c r="F36" s="3">
        <f>'Base Lease Info'!I27</f>
        <v>40</v>
      </c>
      <c r="G36" s="39">
        <f t="shared" si="2"/>
        <v>80</v>
      </c>
      <c r="I36" t="s">
        <v>47</v>
      </c>
    </row>
    <row r="37" spans="2:9" x14ac:dyDescent="0.2">
      <c r="B37" s="17" t="s">
        <v>4</v>
      </c>
      <c r="C37" s="6">
        <f>$C12</f>
        <v>203.75</v>
      </c>
      <c r="D37" s="6">
        <f>D12</f>
        <v>193</v>
      </c>
      <c r="E37" s="6">
        <f>E12</f>
        <v>73.4375</v>
      </c>
      <c r="F37" s="6">
        <f>F12</f>
        <v>126.19999999999999</v>
      </c>
      <c r="G37" s="38">
        <f>G12</f>
        <v>199.63749999999999</v>
      </c>
      <c r="I37" t="s">
        <v>60</v>
      </c>
    </row>
    <row r="38" spans="2:9" x14ac:dyDescent="0.2">
      <c r="B38" s="24" t="s">
        <v>44</v>
      </c>
      <c r="C38" s="14">
        <f>SUM(C34:C37)</f>
        <v>678.75</v>
      </c>
      <c r="D38" s="14">
        <f>SUM(D34:D37)</f>
        <v>473</v>
      </c>
      <c r="E38" s="14">
        <f t="shared" ref="E38" si="3">SUM(E34:E37)</f>
        <v>343.4375</v>
      </c>
      <c r="F38" s="14">
        <f>SUM(F34:F37)</f>
        <v>401.2</v>
      </c>
      <c r="G38" s="39">
        <f>SUM(G34:G37)</f>
        <v>744.63750000000005</v>
      </c>
      <c r="I38" t="s">
        <v>61</v>
      </c>
    </row>
    <row r="39" spans="2:9" x14ac:dyDescent="0.2">
      <c r="B39" s="17"/>
      <c r="C39" s="2"/>
      <c r="D39" s="2"/>
      <c r="E39" s="2"/>
      <c r="F39" s="2"/>
      <c r="G39" s="78"/>
    </row>
    <row r="40" spans="2:9" x14ac:dyDescent="0.2">
      <c r="B40" s="18" t="s">
        <v>8</v>
      </c>
      <c r="C40" s="3">
        <f>C22</f>
        <v>700</v>
      </c>
      <c r="D40" s="3">
        <f t="shared" ref="D40:G40" si="4">D22</f>
        <v>495</v>
      </c>
      <c r="E40" s="3">
        <f t="shared" si="4"/>
        <v>356.25</v>
      </c>
      <c r="F40" s="3">
        <f t="shared" si="4"/>
        <v>432</v>
      </c>
      <c r="G40" s="39">
        <f t="shared" si="4"/>
        <v>788.25</v>
      </c>
      <c r="I40" s="25" t="s">
        <v>67</v>
      </c>
    </row>
    <row r="41" spans="2:9" x14ac:dyDescent="0.2">
      <c r="B41" s="17" t="s">
        <v>9</v>
      </c>
      <c r="C41" s="5">
        <f>SUM(C34:C37)</f>
        <v>678.75</v>
      </c>
      <c r="D41" s="5">
        <f>SUM(D34:D37)</f>
        <v>473</v>
      </c>
      <c r="E41" s="5">
        <f t="shared" ref="E41" si="5">SUM(E34:E37)</f>
        <v>343.4375</v>
      </c>
      <c r="F41" s="5">
        <f>SUM(F34:F37)</f>
        <v>401.2</v>
      </c>
      <c r="G41" s="39">
        <f>SUM(G34:G37)</f>
        <v>744.63750000000005</v>
      </c>
    </row>
    <row r="42" spans="2:9" x14ac:dyDescent="0.2">
      <c r="B42" s="21" t="s">
        <v>7</v>
      </c>
      <c r="C42" s="10">
        <f>C40-C41</f>
        <v>21.25</v>
      </c>
      <c r="D42" s="10">
        <f>D40-D41</f>
        <v>22</v>
      </c>
      <c r="E42" s="10">
        <f>E40-E41</f>
        <v>12.8125</v>
      </c>
      <c r="F42" s="10">
        <f t="shared" ref="F42:G42" si="6">F40-F41</f>
        <v>30.800000000000011</v>
      </c>
      <c r="G42" s="36">
        <f t="shared" si="6"/>
        <v>43.612499999999955</v>
      </c>
      <c r="I42" t="s">
        <v>50</v>
      </c>
    </row>
    <row r="43" spans="2:9" ht="13.5" thickBot="1" x14ac:dyDescent="0.25">
      <c r="B43" s="98" t="s">
        <v>25</v>
      </c>
      <c r="C43" s="341">
        <f>IF('Base Lease Info'!F12='Base Lease Info'!L76,C42*'Base Lease Info'!F8 + D42*'Base Lease Info'!G8 + E42*'Base Lease Info'!H8 + F42*'Base Lease Info'!H8,C42*'Base Lease Info'!F8 + D42*'Base Lease Info'!G8 + G42*'Base Lease Info'!J8)</f>
        <v>27.028124999999989</v>
      </c>
      <c r="D43" s="342"/>
      <c r="E43" s="342"/>
      <c r="F43" s="342"/>
      <c r="G43" s="343"/>
      <c r="I43" t="s">
        <v>51</v>
      </c>
    </row>
    <row r="44" spans="2:9" ht="13.5" thickTop="1" x14ac:dyDescent="0.2"/>
    <row r="45" spans="2:9" x14ac:dyDescent="0.2">
      <c r="B45" s="1" t="s">
        <v>59</v>
      </c>
    </row>
    <row r="47" spans="2:9" ht="13.5" thickBot="1" x14ac:dyDescent="0.25"/>
    <row r="48" spans="2:9" ht="17.25" thickTop="1" thickBot="1" x14ac:dyDescent="0.3">
      <c r="B48" s="334" t="s">
        <v>92</v>
      </c>
      <c r="C48" s="335"/>
      <c r="D48" s="335"/>
      <c r="E48" s="335"/>
      <c r="F48" s="335"/>
      <c r="G48" s="336"/>
      <c r="I48" s="7"/>
    </row>
    <row r="49" spans="2:11" ht="13.5" thickTop="1" x14ac:dyDescent="0.2">
      <c r="B49" s="68" t="s">
        <v>14</v>
      </c>
      <c r="C49" s="337"/>
      <c r="D49" s="337"/>
      <c r="E49" s="131"/>
      <c r="F49" s="131"/>
      <c r="G49" s="69"/>
      <c r="I49" s="7" t="s">
        <v>18</v>
      </c>
    </row>
    <row r="50" spans="2:11" x14ac:dyDescent="0.2">
      <c r="B50" s="17" t="s">
        <v>31</v>
      </c>
      <c r="C50" s="331">
        <f>'Base Lease Info'!F21</f>
        <v>150</v>
      </c>
      <c r="D50" s="332"/>
      <c r="E50" s="332"/>
      <c r="F50" s="332"/>
      <c r="G50" s="333"/>
      <c r="I50" s="7"/>
    </row>
    <row r="51" spans="2:11" x14ac:dyDescent="0.2">
      <c r="B51" s="17" t="s">
        <v>10</v>
      </c>
      <c r="C51" s="338">
        <f>'Base Lease Info'!F10</f>
        <v>125</v>
      </c>
      <c r="D51" s="339"/>
      <c r="E51" s="339"/>
      <c r="F51" s="339"/>
      <c r="G51" s="340"/>
      <c r="H51" s="15"/>
      <c r="I51" s="11"/>
    </row>
    <row r="52" spans="2:11" x14ac:dyDescent="0.2">
      <c r="B52" s="17" t="s">
        <v>32</v>
      </c>
      <c r="C52" s="331" t="str">
        <f>'Base Lease Info'!F11</f>
        <v>No</v>
      </c>
      <c r="D52" s="332"/>
      <c r="E52" s="332"/>
      <c r="F52" s="332"/>
      <c r="G52" s="333"/>
      <c r="H52" s="15"/>
      <c r="I52" s="11" t="s">
        <v>62</v>
      </c>
    </row>
    <row r="53" spans="2:11" x14ac:dyDescent="0.2">
      <c r="B53" s="27"/>
      <c r="C53" s="12" t="s">
        <v>22</v>
      </c>
      <c r="D53" s="12" t="s">
        <v>23</v>
      </c>
      <c r="E53" s="12" t="s">
        <v>73</v>
      </c>
      <c r="F53" s="12" t="s">
        <v>74</v>
      </c>
      <c r="G53" s="35" t="s">
        <v>76</v>
      </c>
      <c r="H53" s="15"/>
      <c r="I53" s="11"/>
    </row>
    <row r="54" spans="2:11" x14ac:dyDescent="0.2">
      <c r="B54" s="80" t="s">
        <v>12</v>
      </c>
      <c r="C54" s="31">
        <f>'Base Lease Info'!F17</f>
        <v>0.35</v>
      </c>
      <c r="D54" s="31">
        <f>'Base Lease Info'!G17</f>
        <v>0.4</v>
      </c>
      <c r="E54" s="31">
        <f>'Base Lease Info'!H17</f>
        <v>0.35</v>
      </c>
      <c r="F54" s="31">
        <f>'Base Lease Info'!I17</f>
        <v>0.35</v>
      </c>
      <c r="G54" s="71">
        <f>AVERAGE('Base Lease Info'!H17,'Base Lease Info'!I17)</f>
        <v>0.35</v>
      </c>
      <c r="H54" s="15"/>
      <c r="I54" s="11" t="s">
        <v>39</v>
      </c>
    </row>
    <row r="55" spans="2:11" ht="15.75" x14ac:dyDescent="0.25">
      <c r="B55" s="19" t="s">
        <v>91</v>
      </c>
      <c r="C55" s="9">
        <f>IF($C$52='Base Lease Info'!$J$75,C83*C54,IF(C83*C54&gt;$C$51,C83*C54,$C$51))</f>
        <v>244.99999999999997</v>
      </c>
      <c r="D55" s="9">
        <f>IF($C$52='Base Lease Info'!$J$75,D83*D54,IF(D83*D54&gt;$C$51,D83*D54,$C$51))</f>
        <v>198</v>
      </c>
      <c r="E55" s="9">
        <f>IF($C$52='Base Lease Info'!$J$75,E83*E54,IF(E83*E54&gt;$C$51/2,E83*E54,$C$51/2))</f>
        <v>124.68749999999999</v>
      </c>
      <c r="F55" s="9">
        <f>IF($C$52='Base Lease Info'!$J$75,F83*F54,IF(F83*F54&gt;$C$51/2,F83*F54,$C$51/2))</f>
        <v>151.19999999999999</v>
      </c>
      <c r="G55" s="72">
        <f>IF($C$52='Base Lease Info'!$J$75,G83*G54,IF(G83*G54&gt;$C$51,G83*G54,$C$51))</f>
        <v>275.88749999999999</v>
      </c>
      <c r="I55" t="s">
        <v>40</v>
      </c>
    </row>
    <row r="56" spans="2:11" ht="15.75" x14ac:dyDescent="0.25">
      <c r="B56" s="19" t="s">
        <v>58</v>
      </c>
      <c r="C56" s="323">
        <f>IF('Base Lease Info'!F12='Base Lease Info'!L75,C55*'Base Lease Info'!F8 + D55*'Base Lease Info'!G8 + G55*'Base Lease Info'!J8, C55*'Base Lease Info'!F8 + D55*'Base Lease Info'!G8 + E55*'Base Lease Info'!H8 + F55*'Base Lease Info'!H8)</f>
        <v>240.97187500000001</v>
      </c>
      <c r="D56" s="323"/>
      <c r="E56" s="323"/>
      <c r="F56" s="323"/>
      <c r="G56" s="324"/>
      <c r="I56" t="s">
        <v>48</v>
      </c>
    </row>
    <row r="57" spans="2:11" x14ac:dyDescent="0.2">
      <c r="B57" s="17" t="s">
        <v>19</v>
      </c>
      <c r="C57" s="325">
        <f>C56/$C50-1</f>
        <v>0.60647916666666668</v>
      </c>
      <c r="D57" s="326"/>
      <c r="E57" s="326"/>
      <c r="F57" s="326"/>
      <c r="G57" s="327"/>
      <c r="I57" t="s">
        <v>49</v>
      </c>
    </row>
    <row r="58" spans="2:11" x14ac:dyDescent="0.2">
      <c r="B58" s="17"/>
      <c r="C58" s="8"/>
      <c r="D58" s="8"/>
      <c r="E58" s="8"/>
      <c r="F58" s="8"/>
      <c r="G58" s="73"/>
    </row>
    <row r="59" spans="2:11" x14ac:dyDescent="0.2">
      <c r="B59" s="20" t="s">
        <v>20</v>
      </c>
      <c r="C59" s="12" t="s">
        <v>22</v>
      </c>
      <c r="D59" s="12" t="s">
        <v>23</v>
      </c>
      <c r="E59" s="12" t="s">
        <v>73</v>
      </c>
      <c r="F59" s="12" t="s">
        <v>74</v>
      </c>
      <c r="G59" s="35" t="s">
        <v>76</v>
      </c>
    </row>
    <row r="60" spans="2:11" x14ac:dyDescent="0.2">
      <c r="B60" s="17" t="s">
        <v>0</v>
      </c>
      <c r="C60" s="148">
        <f>'Base Lease Info'!F67</f>
        <v>175</v>
      </c>
      <c r="D60" s="148">
        <f>'Base Lease Info'!G67</f>
        <v>55</v>
      </c>
      <c r="E60" s="148">
        <f>'Base Lease Info'!H67</f>
        <v>75</v>
      </c>
      <c r="F60" s="148">
        <f>'Base Lease Info'!I67</f>
        <v>48</v>
      </c>
      <c r="G60" s="74">
        <f>E60+F60</f>
        <v>123</v>
      </c>
      <c r="I60" t="s">
        <v>26</v>
      </c>
      <c r="K60" s="82"/>
    </row>
    <row r="61" spans="2:11" x14ac:dyDescent="0.2">
      <c r="B61" s="17" t="s">
        <v>21</v>
      </c>
      <c r="C61" s="149">
        <f>'Base Lease Info'!F68</f>
        <v>4</v>
      </c>
      <c r="D61" s="149">
        <f>'Base Lease Info'!G68</f>
        <v>9</v>
      </c>
      <c r="E61" s="149">
        <f>'Base Lease Info'!H68</f>
        <v>4.75</v>
      </c>
      <c r="F61" s="26">
        <f>D61</f>
        <v>9</v>
      </c>
      <c r="G61" s="75">
        <f>E61*(E60/G60) + F61*(F60/G60)</f>
        <v>6.4085365853658534</v>
      </c>
      <c r="I61" t="s">
        <v>27</v>
      </c>
    </row>
    <row r="62" spans="2:11" x14ac:dyDescent="0.2">
      <c r="B62" s="17" t="s">
        <v>5</v>
      </c>
      <c r="C62" s="3">
        <f>C60*C61</f>
        <v>700</v>
      </c>
      <c r="D62" s="3">
        <f>D60*D61</f>
        <v>495</v>
      </c>
      <c r="E62" s="3">
        <f>E60*E61</f>
        <v>356.25</v>
      </c>
      <c r="F62" s="3">
        <f t="shared" ref="F62" si="7">F60*F61</f>
        <v>432</v>
      </c>
      <c r="G62" s="46">
        <f>G60*G61</f>
        <v>788.25</v>
      </c>
      <c r="I62" t="s">
        <v>41</v>
      </c>
    </row>
    <row r="63" spans="2:11" x14ac:dyDescent="0.2">
      <c r="B63" s="17" t="s">
        <v>13</v>
      </c>
      <c r="C63" s="3">
        <f>IF('Base Lease Info'!$F6='Base Lease Info'!$J$75,$C73,0)</f>
        <v>0</v>
      </c>
      <c r="D63" s="3">
        <f>IF('Base Lease Info'!$F6='Base Lease Info'!$J$75,$C73,0)</f>
        <v>0</v>
      </c>
      <c r="E63" s="3">
        <f>IF('Base Lease Info'!$F6='Base Lease Info'!$J$75,$C73,0)</f>
        <v>0</v>
      </c>
      <c r="F63" s="3">
        <f>IF('Base Lease Info'!$F6='Base Lease Info'!$J$75,$C73,0)</f>
        <v>0</v>
      </c>
      <c r="G63" s="39">
        <f>IF('Base Lease Info'!$F6='Base Lease Info'!$J$75,$C73,0)</f>
        <v>0</v>
      </c>
      <c r="I63" s="25" t="s">
        <v>63</v>
      </c>
    </row>
    <row r="64" spans="2:11" x14ac:dyDescent="0.2">
      <c r="B64" s="27" t="s">
        <v>107</v>
      </c>
      <c r="C64" s="6">
        <f>'Base Lease Info'!E80</f>
        <v>0</v>
      </c>
      <c r="D64" s="6">
        <f>'Base Lease Info'!F80</f>
        <v>0</v>
      </c>
      <c r="E64" s="6">
        <f>'Base Lease Info'!G80</f>
        <v>0</v>
      </c>
      <c r="F64" s="6">
        <f>'Base Lease Info'!H80</f>
        <v>0</v>
      </c>
      <c r="G64" s="38">
        <f>'Base Lease Info'!I80</f>
        <v>0</v>
      </c>
      <c r="I64" s="25"/>
    </row>
    <row r="65" spans="2:9" x14ac:dyDescent="0.2">
      <c r="B65" s="24" t="s">
        <v>43</v>
      </c>
      <c r="C65" s="14">
        <f>SUM(C62:C64)</f>
        <v>700</v>
      </c>
      <c r="D65" s="14">
        <f t="shared" ref="D65" si="8">SUM(D62:D64)</f>
        <v>495</v>
      </c>
      <c r="E65" s="14">
        <f>SUM(E62:E64)</f>
        <v>356.25</v>
      </c>
      <c r="F65" s="14">
        <f>SUM(F62:F64)</f>
        <v>432</v>
      </c>
      <c r="G65" s="76">
        <f>SUM(G62:G64)</f>
        <v>788.25</v>
      </c>
      <c r="I65" t="s">
        <v>42</v>
      </c>
    </row>
    <row r="66" spans="2:9" x14ac:dyDescent="0.2">
      <c r="B66" s="24"/>
      <c r="C66" s="14"/>
      <c r="D66" s="14"/>
      <c r="E66" s="14"/>
      <c r="F66" s="14"/>
      <c r="G66" s="76"/>
    </row>
    <row r="67" spans="2:9" x14ac:dyDescent="0.2">
      <c r="B67" s="40" t="s">
        <v>79</v>
      </c>
      <c r="C67" s="14"/>
      <c r="D67" s="14"/>
      <c r="E67" s="14"/>
      <c r="F67" s="14"/>
      <c r="G67" s="76"/>
    </row>
    <row r="68" spans="2:9" x14ac:dyDescent="0.2">
      <c r="B68" s="27" t="s">
        <v>81</v>
      </c>
      <c r="C68" s="95">
        <f>'Base Lease Info'!E83</f>
        <v>0.8</v>
      </c>
      <c r="D68" s="96"/>
      <c r="E68" s="96"/>
      <c r="F68" s="4"/>
      <c r="G68" s="37"/>
    </row>
    <row r="69" spans="2:9" x14ac:dyDescent="0.2">
      <c r="B69" s="27" t="s">
        <v>80</v>
      </c>
      <c r="C69" s="95">
        <f>'Base Lease Info'!E84</f>
        <v>0.5</v>
      </c>
      <c r="D69" s="95">
        <f>'Base Lease Info'!F84</f>
        <v>0.4</v>
      </c>
      <c r="E69" s="95">
        <f>'Base Lease Info'!G84</f>
        <v>9.9999999999999978E-2</v>
      </c>
      <c r="F69" s="3"/>
      <c r="G69" s="39"/>
    </row>
    <row r="70" spans="2:9" x14ac:dyDescent="0.2">
      <c r="B70" s="27" t="s">
        <v>82</v>
      </c>
      <c r="C70" s="93">
        <f>'Base Lease Info'!E85</f>
        <v>3.7</v>
      </c>
      <c r="D70" s="93">
        <f>'Base Lease Info'!F85</f>
        <v>8.4</v>
      </c>
      <c r="E70" s="93">
        <f>'Base Lease Info'!G85</f>
        <v>5.5</v>
      </c>
      <c r="F70" s="3"/>
      <c r="G70" s="39"/>
    </row>
    <row r="71" spans="2:9" x14ac:dyDescent="0.2">
      <c r="B71" s="27" t="s">
        <v>83</v>
      </c>
      <c r="C71" s="97">
        <f>'Base Lease Info'!E86</f>
        <v>155</v>
      </c>
      <c r="D71" s="97">
        <f>'Base Lease Info'!F86</f>
        <v>48</v>
      </c>
      <c r="E71" s="97">
        <f>'Base Lease Info'!G86</f>
        <v>60</v>
      </c>
      <c r="F71" s="28"/>
      <c r="G71" s="77"/>
    </row>
    <row r="72" spans="2:9" x14ac:dyDescent="0.2">
      <c r="B72" s="27" t="s">
        <v>84</v>
      </c>
      <c r="C72" s="94">
        <f>IF(C61&lt;C70,(C70-C61)*C71*0.85,0)</f>
        <v>0</v>
      </c>
      <c r="D72" s="94">
        <f t="shared" ref="D72:E72" si="9">IF(D61&lt;D70,(D70-D61)*D71*0.85,0)</f>
        <v>0</v>
      </c>
      <c r="E72" s="94">
        <f t="shared" si="9"/>
        <v>38.25</v>
      </c>
      <c r="F72" s="28"/>
      <c r="G72" s="77"/>
    </row>
    <row r="73" spans="2:9" x14ac:dyDescent="0.2">
      <c r="B73" s="27" t="s">
        <v>85</v>
      </c>
      <c r="C73" s="320">
        <f>(C72*C69+D72*D69+E72*E69)*C68</f>
        <v>3.0599999999999996</v>
      </c>
      <c r="D73" s="321"/>
      <c r="E73" s="322"/>
      <c r="F73" s="3"/>
      <c r="G73" s="39"/>
    </row>
    <row r="74" spans="2:9" x14ac:dyDescent="0.2">
      <c r="B74" s="27"/>
      <c r="C74" s="29"/>
      <c r="D74" s="3"/>
      <c r="E74" s="3"/>
      <c r="F74" s="3"/>
      <c r="G74" s="39"/>
    </row>
    <row r="75" spans="2:9" x14ac:dyDescent="0.2">
      <c r="B75" s="17"/>
      <c r="C75" s="2"/>
      <c r="D75" s="2"/>
      <c r="E75" s="2"/>
      <c r="F75" s="2"/>
      <c r="G75" s="78"/>
    </row>
    <row r="76" spans="2:9" x14ac:dyDescent="0.2">
      <c r="B76" s="16" t="s">
        <v>1</v>
      </c>
      <c r="C76" s="2"/>
      <c r="D76" s="2"/>
      <c r="E76" s="2"/>
      <c r="F76" s="2"/>
      <c r="G76" s="78"/>
    </row>
    <row r="77" spans="2:9" x14ac:dyDescent="0.2">
      <c r="B77" s="17" t="s">
        <v>2</v>
      </c>
      <c r="C77" s="3">
        <f>'Base Lease Info'!F25</f>
        <v>275</v>
      </c>
      <c r="D77" s="3">
        <f>'Base Lease Info'!G25</f>
        <v>150</v>
      </c>
      <c r="E77" s="3">
        <f>'Base Lease Info'!H25</f>
        <v>140</v>
      </c>
      <c r="F77" s="3">
        <f>'Base Lease Info'!I25</f>
        <v>150</v>
      </c>
      <c r="G77" s="39">
        <f>E77+F77</f>
        <v>290</v>
      </c>
      <c r="I77" t="s">
        <v>45</v>
      </c>
    </row>
    <row r="78" spans="2:9" x14ac:dyDescent="0.2">
      <c r="B78" s="17" t="s">
        <v>6</v>
      </c>
      <c r="C78" s="3">
        <f>'Base Lease Info'!F26</f>
        <v>140</v>
      </c>
      <c r="D78" s="3">
        <f>'Base Lease Info'!G26</f>
        <v>90</v>
      </c>
      <c r="E78" s="3">
        <f>'Base Lease Info'!H26</f>
        <v>90</v>
      </c>
      <c r="F78" s="3">
        <f>'Base Lease Info'!I26</f>
        <v>85</v>
      </c>
      <c r="G78" s="39">
        <f t="shared" ref="G78:G79" si="10">E78+F78</f>
        <v>175</v>
      </c>
      <c r="I78" t="s">
        <v>46</v>
      </c>
    </row>
    <row r="79" spans="2:9" x14ac:dyDescent="0.2">
      <c r="B79" s="17" t="s">
        <v>3</v>
      </c>
      <c r="C79" s="3">
        <f>'Base Lease Info'!F27</f>
        <v>60</v>
      </c>
      <c r="D79" s="3">
        <f>'Base Lease Info'!G27</f>
        <v>40</v>
      </c>
      <c r="E79" s="3">
        <f>'Base Lease Info'!H27</f>
        <v>40</v>
      </c>
      <c r="F79" s="3">
        <f>'Base Lease Info'!I27</f>
        <v>40</v>
      </c>
      <c r="G79" s="39">
        <f t="shared" si="10"/>
        <v>80</v>
      </c>
      <c r="I79" t="s">
        <v>47</v>
      </c>
    </row>
    <row r="80" spans="2:9" x14ac:dyDescent="0.2">
      <c r="B80" s="18" t="s">
        <v>4</v>
      </c>
      <c r="C80" s="6">
        <f>$C55</f>
        <v>244.99999999999997</v>
      </c>
      <c r="D80" s="6">
        <f>D55</f>
        <v>198</v>
      </c>
      <c r="E80" s="6">
        <f>E55</f>
        <v>124.68749999999999</v>
      </c>
      <c r="F80" s="6">
        <f>F55</f>
        <v>151.19999999999999</v>
      </c>
      <c r="G80" s="38">
        <f>G55</f>
        <v>275.88749999999999</v>
      </c>
      <c r="I80" t="s">
        <v>60</v>
      </c>
    </row>
    <row r="81" spans="2:9" x14ac:dyDescent="0.2">
      <c r="B81" s="24" t="s">
        <v>44</v>
      </c>
      <c r="C81" s="14">
        <f>SUM(C77:C80)</f>
        <v>720</v>
      </c>
      <c r="D81" s="14">
        <f>SUM(D77:D80)</f>
        <v>478</v>
      </c>
      <c r="E81" s="14">
        <f t="shared" ref="E81" si="11">SUM(E77:E80)</f>
        <v>394.6875</v>
      </c>
      <c r="F81" s="14">
        <f>SUM(F77:F80)</f>
        <v>426.2</v>
      </c>
      <c r="G81" s="39">
        <f>SUM(G77:G80)</f>
        <v>820.88750000000005</v>
      </c>
      <c r="I81" t="s">
        <v>61</v>
      </c>
    </row>
    <row r="82" spans="2:9" x14ac:dyDescent="0.2">
      <c r="B82" s="17"/>
      <c r="C82" s="2"/>
      <c r="D82" s="2"/>
      <c r="E82" s="2"/>
      <c r="F82" s="2"/>
      <c r="G82" s="78"/>
    </row>
    <row r="83" spans="2:9" x14ac:dyDescent="0.2">
      <c r="B83" s="17" t="s">
        <v>8</v>
      </c>
      <c r="C83" s="3">
        <f>C65</f>
        <v>700</v>
      </c>
      <c r="D83" s="3">
        <f t="shared" ref="D83:G83" si="12">D65</f>
        <v>495</v>
      </c>
      <c r="E83" s="3">
        <f>E65</f>
        <v>356.25</v>
      </c>
      <c r="F83" s="3">
        <f t="shared" si="12"/>
        <v>432</v>
      </c>
      <c r="G83" s="39">
        <f t="shared" si="12"/>
        <v>788.25</v>
      </c>
      <c r="I83" s="25" t="s">
        <v>67</v>
      </c>
    </row>
    <row r="84" spans="2:9" x14ac:dyDescent="0.2">
      <c r="B84" s="17" t="s">
        <v>9</v>
      </c>
      <c r="C84" s="5">
        <f>SUM(C77:C80)</f>
        <v>720</v>
      </c>
      <c r="D84" s="5">
        <f t="shared" ref="D84:F84" si="13">SUM(D77:D80)</f>
        <v>478</v>
      </c>
      <c r="E84" s="5">
        <f>SUM(E77:E80)</f>
        <v>394.6875</v>
      </c>
      <c r="F84" s="5">
        <f t="shared" si="13"/>
        <v>426.2</v>
      </c>
      <c r="G84" s="85">
        <f>SUM(G77:G80)</f>
        <v>820.88750000000005</v>
      </c>
    </row>
    <row r="85" spans="2:9" x14ac:dyDescent="0.2">
      <c r="B85" s="21" t="s">
        <v>7</v>
      </c>
      <c r="C85" s="10">
        <f>C83-C84</f>
        <v>-20</v>
      </c>
      <c r="D85" s="10">
        <f>D83-D84</f>
        <v>17</v>
      </c>
      <c r="E85" s="10">
        <f>E83-E84</f>
        <v>-38.4375</v>
      </c>
      <c r="F85" s="10">
        <f t="shared" ref="F85:G85" si="14">F83-F84</f>
        <v>5.8000000000000114</v>
      </c>
      <c r="G85" s="36">
        <f t="shared" si="14"/>
        <v>-32.637500000000045</v>
      </c>
      <c r="I85" t="s">
        <v>50</v>
      </c>
    </row>
    <row r="86" spans="2:9" ht="13.5" thickBot="1" x14ac:dyDescent="0.25">
      <c r="B86" s="22" t="s">
        <v>25</v>
      </c>
      <c r="C86" s="328">
        <f>IF('Base Lease Info'!F12='Base Lease Info'!L76,C85*'Base Lease Info'!F8 + D85*'Base Lease Info'!G8 + E85*'Base Lease Info'!H8 + F85*'Base Lease Info'!H8,C85*'Base Lease Info'!F8 + D85*'Base Lease Info'!G8 + G85*'Base Lease Info'!J8)</f>
        <v>-13.909375000000011</v>
      </c>
      <c r="D86" s="329"/>
      <c r="E86" s="329"/>
      <c r="F86" s="329"/>
      <c r="G86" s="330"/>
      <c r="I86" t="s">
        <v>51</v>
      </c>
    </row>
    <row r="87" spans="2:9" ht="13.5" thickTop="1" x14ac:dyDescent="0.2"/>
    <row r="88" spans="2:9" x14ac:dyDescent="0.2">
      <c r="B88" s="1" t="s">
        <v>59</v>
      </c>
    </row>
    <row r="90" spans="2:9" x14ac:dyDescent="0.2">
      <c r="B90" s="11"/>
      <c r="C90" s="11"/>
      <c r="D90" s="11"/>
      <c r="E90" s="11"/>
      <c r="F90" s="11"/>
      <c r="G90" s="11"/>
    </row>
    <row r="91" spans="2:9" x14ac:dyDescent="0.2">
      <c r="I91" s="25"/>
    </row>
    <row r="92" spans="2:9" x14ac:dyDescent="0.2">
      <c r="I92" s="25"/>
    </row>
  </sheetData>
  <mergeCells count="18">
    <mergeCell ref="C13:G13"/>
    <mergeCell ref="B2:G2"/>
    <mergeCell ref="C3:D3"/>
    <mergeCell ref="C4:G4"/>
    <mergeCell ref="C5:G5"/>
    <mergeCell ref="C6:G6"/>
    <mergeCell ref="C86:G86"/>
    <mergeCell ref="C14:G14"/>
    <mergeCell ref="C30:E30"/>
    <mergeCell ref="C43:G43"/>
    <mergeCell ref="B48:G48"/>
    <mergeCell ref="C49:D49"/>
    <mergeCell ref="C50:G50"/>
    <mergeCell ref="C51:G51"/>
    <mergeCell ref="C52:G52"/>
    <mergeCell ref="C56:G56"/>
    <mergeCell ref="C57:G57"/>
    <mergeCell ref="C73:E73"/>
  </mergeCells>
  <pageMargins left="0.75" right="0.75" top="1" bottom="1" header="0.5" footer="0.5"/>
  <pageSetup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
  <sheetViews>
    <sheetView workbookViewId="0">
      <selection activeCell="B16" sqref="B16"/>
    </sheetView>
  </sheetViews>
  <sheetFormatPr defaultRowHeight="12.75" x14ac:dyDescent="0.2"/>
  <cols>
    <col min="1" max="1" width="3.5703125" customWidth="1"/>
    <col min="2" max="2" width="82.42578125" customWidth="1"/>
  </cols>
  <sheetData>
    <row r="2" spans="2:2" x14ac:dyDescent="0.2">
      <c r="B2" s="23" t="s">
        <v>37</v>
      </c>
    </row>
    <row r="3" spans="2:2" x14ac:dyDescent="0.2">
      <c r="B3" s="25" t="s">
        <v>70</v>
      </c>
    </row>
    <row r="4" spans="2:2" x14ac:dyDescent="0.2">
      <c r="B4" s="25" t="s">
        <v>71</v>
      </c>
    </row>
    <row r="5" spans="2:2" x14ac:dyDescent="0.2">
      <c r="B5" s="11"/>
    </row>
  </sheetData>
  <phoneticPr fontId="12"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5"/>
  <sheetViews>
    <sheetView showGridLines="0" tabSelected="1" zoomScaleNormal="100" workbookViewId="0">
      <selection activeCell="F9" sqref="F9:J9"/>
    </sheetView>
  </sheetViews>
  <sheetFormatPr defaultRowHeight="12.75" x14ac:dyDescent="0.2"/>
  <cols>
    <col min="1" max="1" width="3.5703125" customWidth="1"/>
    <col min="2" max="2" width="12.28515625" customWidth="1"/>
    <col min="3" max="3" width="7.42578125" customWidth="1"/>
    <col min="4" max="4" width="7.85546875" customWidth="1"/>
    <col min="5" max="5" width="11.5703125" customWidth="1"/>
    <col min="6" max="21" width="10.7109375" customWidth="1"/>
  </cols>
  <sheetData>
    <row r="1" spans="1:21" ht="13.5" thickBot="1" x14ac:dyDescent="0.25">
      <c r="A1" s="43"/>
      <c r="B1" s="43"/>
      <c r="C1" s="43"/>
      <c r="D1" s="43"/>
      <c r="E1" s="43"/>
      <c r="F1" s="43"/>
      <c r="G1" s="43"/>
      <c r="H1" s="43"/>
      <c r="I1" s="43"/>
      <c r="J1" s="43"/>
      <c r="K1" s="43"/>
      <c r="L1" s="43"/>
      <c r="M1" s="43"/>
      <c r="N1" s="43"/>
      <c r="O1" s="43"/>
      <c r="P1" s="43"/>
      <c r="Q1" s="43"/>
      <c r="R1" s="302"/>
      <c r="S1" s="302"/>
      <c r="T1" s="302"/>
      <c r="U1" s="302"/>
    </row>
    <row r="2" spans="1:21" ht="19.5" thickTop="1" thickBot="1" x14ac:dyDescent="0.25">
      <c r="A2" s="43"/>
      <c r="B2" s="317" t="s">
        <v>131</v>
      </c>
      <c r="C2" s="318"/>
      <c r="D2" s="318"/>
      <c r="E2" s="318"/>
      <c r="F2" s="318"/>
      <c r="G2" s="318"/>
      <c r="H2" s="318"/>
      <c r="I2" s="318"/>
      <c r="J2" s="319"/>
      <c r="K2" s="43"/>
      <c r="L2" s="43"/>
      <c r="M2" s="43"/>
      <c r="N2" s="43"/>
      <c r="O2" s="43"/>
      <c r="P2" s="43"/>
      <c r="Q2" s="43"/>
      <c r="R2" s="43"/>
      <c r="S2" s="43"/>
      <c r="T2" s="43"/>
      <c r="U2" s="43"/>
    </row>
    <row r="3" spans="1:21" ht="13.5" thickTop="1" x14ac:dyDescent="0.2">
      <c r="A3" s="43"/>
      <c r="B3" s="243" t="s">
        <v>35</v>
      </c>
      <c r="C3" s="244"/>
      <c r="D3" s="244"/>
      <c r="E3" s="245"/>
      <c r="F3" s="44" t="s">
        <v>22</v>
      </c>
      <c r="G3" s="44" t="s">
        <v>23</v>
      </c>
      <c r="H3" s="44" t="s">
        <v>73</v>
      </c>
      <c r="I3" s="44" t="s">
        <v>74</v>
      </c>
      <c r="J3" s="45" t="s">
        <v>118</v>
      </c>
      <c r="K3" s="43"/>
      <c r="L3" s="47" t="s">
        <v>18</v>
      </c>
      <c r="M3" s="43"/>
      <c r="N3" s="43"/>
      <c r="O3" s="43"/>
      <c r="P3" s="43"/>
      <c r="Q3" s="43"/>
      <c r="R3" s="43"/>
      <c r="S3" s="43"/>
      <c r="T3" s="43"/>
      <c r="U3" s="43"/>
    </row>
    <row r="4" spans="1:21" x14ac:dyDescent="0.2">
      <c r="A4" s="43"/>
      <c r="B4" s="228" t="s">
        <v>87</v>
      </c>
      <c r="C4" s="229"/>
      <c r="D4" s="229"/>
      <c r="E4" s="230"/>
      <c r="F4" s="183">
        <v>150</v>
      </c>
      <c r="G4" s="183">
        <v>45</v>
      </c>
      <c r="H4" s="183">
        <v>65</v>
      </c>
      <c r="I4" s="183">
        <v>35</v>
      </c>
      <c r="J4" s="55">
        <f>H4+I4</f>
        <v>100</v>
      </c>
      <c r="K4" s="43"/>
      <c r="L4" s="65" t="s">
        <v>140</v>
      </c>
      <c r="M4" s="43"/>
      <c r="N4" s="43"/>
      <c r="O4" s="43"/>
      <c r="P4" s="43"/>
      <c r="Q4" s="43"/>
      <c r="R4" s="43"/>
      <c r="S4" s="43"/>
      <c r="T4" s="43"/>
      <c r="U4" s="43"/>
    </row>
    <row r="5" spans="1:21" x14ac:dyDescent="0.2">
      <c r="A5" s="43"/>
      <c r="B5" s="228" t="s">
        <v>88</v>
      </c>
      <c r="C5" s="229"/>
      <c r="D5" s="229"/>
      <c r="E5" s="230"/>
      <c r="F5" s="184">
        <v>3.75</v>
      </c>
      <c r="G5" s="184">
        <v>8.75</v>
      </c>
      <c r="H5" s="184">
        <v>4.75</v>
      </c>
      <c r="I5" s="102">
        <f>G5</f>
        <v>8.75</v>
      </c>
      <c r="J5" s="48">
        <f>H5*(H4/J4) + I5*(I4/J4)</f>
        <v>6.15</v>
      </c>
      <c r="K5" s="43"/>
      <c r="L5" s="65" t="s">
        <v>141</v>
      </c>
      <c r="M5" s="43"/>
      <c r="N5" s="43"/>
      <c r="O5" s="43"/>
      <c r="P5" s="43"/>
      <c r="Q5" s="43"/>
      <c r="R5" s="43"/>
      <c r="S5" s="43"/>
      <c r="T5" s="43"/>
      <c r="U5" s="43"/>
    </row>
    <row r="6" spans="1:21" hidden="1" x14ac:dyDescent="0.2">
      <c r="A6" s="43"/>
      <c r="B6" s="228" t="s">
        <v>86</v>
      </c>
      <c r="C6" s="229"/>
      <c r="D6" s="229"/>
      <c r="E6" s="230"/>
      <c r="F6" s="251" t="s">
        <v>34</v>
      </c>
      <c r="G6" s="251"/>
      <c r="H6" s="251"/>
      <c r="I6" s="251"/>
      <c r="J6" s="252"/>
      <c r="K6" s="43"/>
      <c r="L6" s="43"/>
      <c r="M6" s="43"/>
      <c r="N6" s="43"/>
      <c r="O6" s="43"/>
      <c r="P6" s="43"/>
      <c r="Q6" s="43"/>
      <c r="R6" s="43"/>
      <c r="S6" s="43"/>
      <c r="T6" s="43"/>
      <c r="U6" s="43"/>
    </row>
    <row r="7" spans="1:21" hidden="1" x14ac:dyDescent="0.2">
      <c r="A7" s="43"/>
      <c r="B7" s="201"/>
      <c r="C7" s="202"/>
      <c r="D7" s="202"/>
      <c r="E7" s="203"/>
      <c r="F7" s="49">
        <f>Avg!C31</f>
        <v>0</v>
      </c>
      <c r="G7" s="49">
        <f>Avg!D31</f>
        <v>0</v>
      </c>
      <c r="H7" s="49">
        <f>Avg!E31</f>
        <v>0</v>
      </c>
      <c r="I7" s="49">
        <f>Avg!F31</f>
        <v>0</v>
      </c>
      <c r="J7" s="50">
        <f>Avg!G31</f>
        <v>0</v>
      </c>
      <c r="K7" s="43"/>
      <c r="L7" s="43" t="s">
        <v>36</v>
      </c>
      <c r="M7" s="43"/>
      <c r="N7" s="43"/>
      <c r="O7" s="43"/>
      <c r="P7" s="43"/>
      <c r="Q7" s="43"/>
      <c r="R7" s="43"/>
      <c r="S7" s="43"/>
      <c r="T7" s="43"/>
      <c r="U7" s="43"/>
    </row>
    <row r="8" spans="1:21" x14ac:dyDescent="0.2">
      <c r="A8" s="43"/>
      <c r="B8" s="237" t="s">
        <v>24</v>
      </c>
      <c r="C8" s="238"/>
      <c r="D8" s="238"/>
      <c r="E8" s="239"/>
      <c r="F8" s="185">
        <v>0.5</v>
      </c>
      <c r="G8" s="185">
        <v>0.25</v>
      </c>
      <c r="H8" s="303">
        <f>IF(F12=L75,0,IF(F8+G8&gt;1,"ERROR",1-F8-G8))</f>
        <v>0</v>
      </c>
      <c r="I8" s="304"/>
      <c r="J8" s="164">
        <f>IF(F12=L76,0,IF(F8+G8&gt;1,"ERROR",1-F8-G8))</f>
        <v>0.25</v>
      </c>
      <c r="K8" s="43"/>
      <c r="L8" s="65" t="s">
        <v>139</v>
      </c>
      <c r="M8" s="43"/>
      <c r="N8" s="43"/>
      <c r="O8" s="43"/>
      <c r="P8" s="43"/>
      <c r="Q8" s="43"/>
      <c r="R8" s="43"/>
      <c r="S8" s="43"/>
      <c r="T8" s="43"/>
      <c r="U8" s="43"/>
    </row>
    <row r="9" spans="1:21" x14ac:dyDescent="0.2">
      <c r="A9" s="43"/>
      <c r="B9" s="311" t="s">
        <v>89</v>
      </c>
      <c r="C9" s="312"/>
      <c r="D9" s="312"/>
      <c r="E9" s="313"/>
      <c r="F9" s="248" t="s">
        <v>90</v>
      </c>
      <c r="G9" s="249"/>
      <c r="H9" s="249"/>
      <c r="I9" s="249"/>
      <c r="J9" s="250"/>
      <c r="K9" s="43"/>
      <c r="L9" s="51" t="s">
        <v>137</v>
      </c>
      <c r="M9" s="51"/>
      <c r="N9" s="52"/>
      <c r="O9" s="52"/>
      <c r="P9" s="52"/>
      <c r="Q9" s="52"/>
      <c r="R9" s="43"/>
      <c r="S9" s="43"/>
      <c r="T9" s="43"/>
      <c r="U9" s="43"/>
    </row>
    <row r="10" spans="1:21" x14ac:dyDescent="0.2">
      <c r="A10" s="43"/>
      <c r="B10" s="228" t="s">
        <v>115</v>
      </c>
      <c r="C10" s="229"/>
      <c r="D10" s="229"/>
      <c r="E10" s="230"/>
      <c r="F10" s="246">
        <v>125</v>
      </c>
      <c r="G10" s="246"/>
      <c r="H10" s="246"/>
      <c r="I10" s="246"/>
      <c r="J10" s="247"/>
      <c r="K10" s="43"/>
      <c r="L10" s="51" t="s">
        <v>127</v>
      </c>
      <c r="M10" s="52"/>
      <c r="N10" s="52"/>
      <c r="O10" s="52"/>
      <c r="P10" s="52"/>
      <c r="Q10" s="52"/>
      <c r="R10" s="43"/>
      <c r="S10" s="43"/>
      <c r="T10" s="43"/>
      <c r="U10" s="43"/>
    </row>
    <row r="11" spans="1:21" hidden="1" x14ac:dyDescent="0.2">
      <c r="A11" s="43"/>
      <c r="B11" s="237" t="s">
        <v>32</v>
      </c>
      <c r="C11" s="238"/>
      <c r="D11" s="238"/>
      <c r="E11" s="239"/>
      <c r="F11" s="256" t="s">
        <v>34</v>
      </c>
      <c r="G11" s="257"/>
      <c r="H11" s="257"/>
      <c r="I11" s="257"/>
      <c r="J11" s="258"/>
      <c r="K11" s="43"/>
      <c r="L11" s="43"/>
      <c r="M11" s="43"/>
      <c r="N11" s="43"/>
      <c r="O11" s="43"/>
      <c r="P11" s="43"/>
      <c r="Q11" s="43"/>
      <c r="R11" s="43"/>
      <c r="S11" s="43"/>
      <c r="T11" s="43"/>
      <c r="U11" s="43"/>
    </row>
    <row r="12" spans="1:21" hidden="1" x14ac:dyDescent="0.2">
      <c r="A12" s="43"/>
      <c r="B12" s="201" t="s">
        <v>119</v>
      </c>
      <c r="C12" s="202"/>
      <c r="D12" s="202"/>
      <c r="E12" s="203"/>
      <c r="F12" s="314" t="s">
        <v>77</v>
      </c>
      <c r="G12" s="315"/>
      <c r="H12" s="315"/>
      <c r="I12" s="315"/>
      <c r="J12" s="316"/>
      <c r="K12" s="43"/>
      <c r="L12" s="51"/>
      <c r="M12" s="43"/>
      <c r="N12" s="43"/>
      <c r="O12" s="43"/>
      <c r="P12" s="43"/>
      <c r="Q12" s="43"/>
      <c r="R12" s="43"/>
      <c r="S12" s="43"/>
      <c r="T12" s="43"/>
      <c r="U12" s="43"/>
    </row>
    <row r="13" spans="1:21" x14ac:dyDescent="0.2">
      <c r="A13" s="43"/>
      <c r="B13" s="228"/>
      <c r="C13" s="229"/>
      <c r="D13" s="229"/>
      <c r="E13" s="230"/>
      <c r="F13" s="128"/>
      <c r="G13" s="129"/>
      <c r="H13" s="129"/>
      <c r="I13" s="129"/>
      <c r="J13" s="130"/>
      <c r="K13" s="43"/>
      <c r="L13" s="43"/>
      <c r="M13" s="43"/>
      <c r="N13" s="43"/>
      <c r="O13" s="65"/>
      <c r="P13" s="43"/>
      <c r="Q13" s="43"/>
      <c r="R13" s="43"/>
      <c r="S13" s="43"/>
      <c r="T13" s="43"/>
      <c r="U13" s="43"/>
    </row>
    <row r="14" spans="1:21" x14ac:dyDescent="0.2">
      <c r="A14" s="43"/>
      <c r="B14" s="222"/>
      <c r="C14" s="223"/>
      <c r="D14" s="223"/>
      <c r="E14" s="224"/>
      <c r="F14" s="53" t="s">
        <v>22</v>
      </c>
      <c r="G14" s="53" t="s">
        <v>23</v>
      </c>
      <c r="H14" s="53" t="s">
        <v>73</v>
      </c>
      <c r="I14" s="53" t="s">
        <v>74</v>
      </c>
      <c r="J14" s="54" t="s">
        <v>118</v>
      </c>
      <c r="K14" s="43"/>
      <c r="L14" s="178"/>
      <c r="M14" s="43"/>
      <c r="N14" s="43"/>
      <c r="O14" s="43"/>
      <c r="P14" s="43"/>
      <c r="Q14" s="43"/>
      <c r="R14" s="43"/>
      <c r="S14" s="43"/>
      <c r="T14" s="43"/>
      <c r="U14" s="43"/>
    </row>
    <row r="15" spans="1:21" x14ac:dyDescent="0.2">
      <c r="A15" s="43"/>
      <c r="B15" s="201" t="s">
        <v>128</v>
      </c>
      <c r="C15" s="202"/>
      <c r="D15" s="202"/>
      <c r="E15" s="203"/>
      <c r="F15" s="56">
        <f>(F4*F5)+E79+E80</f>
        <v>562.5</v>
      </c>
      <c r="G15" s="56">
        <f>(G4*G5)+F79+F80</f>
        <v>393.75</v>
      </c>
      <c r="H15" s="56">
        <f>(H4*H5)+G79+G80</f>
        <v>308.75</v>
      </c>
      <c r="I15" s="56">
        <f>(I4*I5)+H79+H80</f>
        <v>306.25</v>
      </c>
      <c r="J15" s="57">
        <f>(J4*J5)+I79+I80</f>
        <v>615</v>
      </c>
      <c r="K15" s="43"/>
      <c r="L15" s="43"/>
      <c r="M15" s="52"/>
      <c r="N15" s="52"/>
      <c r="O15" s="52"/>
      <c r="P15" s="52"/>
      <c r="Q15" s="52"/>
      <c r="R15" s="43"/>
      <c r="S15" s="43"/>
      <c r="T15" s="43"/>
      <c r="U15" s="43"/>
    </row>
    <row r="16" spans="1:21" x14ac:dyDescent="0.2">
      <c r="A16" s="43"/>
      <c r="B16" s="228" t="s">
        <v>129</v>
      </c>
      <c r="C16" s="238"/>
      <c r="D16" s="238"/>
      <c r="E16" s="239"/>
      <c r="F16" s="186">
        <v>475</v>
      </c>
      <c r="G16" s="186">
        <v>325</v>
      </c>
      <c r="H16" s="186">
        <v>325</v>
      </c>
      <c r="I16" s="186">
        <v>250</v>
      </c>
      <c r="J16" s="50">
        <f>H16+I16</f>
        <v>575</v>
      </c>
      <c r="K16" s="43"/>
      <c r="L16" s="51" t="s">
        <v>72</v>
      </c>
      <c r="M16" s="43"/>
      <c r="N16" s="43"/>
      <c r="O16" s="43"/>
      <c r="P16" s="43"/>
      <c r="Q16" s="43"/>
      <c r="R16" s="43"/>
      <c r="S16" s="43"/>
      <c r="T16" s="43"/>
      <c r="U16" s="43"/>
    </row>
    <row r="17" spans="1:21" x14ac:dyDescent="0.2">
      <c r="A17" s="43"/>
      <c r="B17" s="201" t="str">
        <f>IF(F9=N75,"Bonus: % of Revenue Above Base Revenue","Flex Rent: % of Gross Revenue")</f>
        <v>Bonus: % of Revenue Above Base Revenue</v>
      </c>
      <c r="C17" s="202"/>
      <c r="D17" s="202"/>
      <c r="E17" s="203"/>
      <c r="F17" s="185">
        <v>0.35</v>
      </c>
      <c r="G17" s="185">
        <v>0.4</v>
      </c>
      <c r="H17" s="185">
        <v>0.35</v>
      </c>
      <c r="I17" s="185">
        <v>0.35</v>
      </c>
      <c r="J17" s="100">
        <f>(H17*(H4/J4))+(I17*(I4/J4))</f>
        <v>0.35</v>
      </c>
      <c r="K17" s="43"/>
      <c r="L17" s="51" t="s">
        <v>138</v>
      </c>
      <c r="M17" s="52"/>
      <c r="N17" s="52"/>
      <c r="O17" s="52"/>
      <c r="P17" s="52"/>
      <c r="Q17" s="52"/>
      <c r="R17" s="43"/>
      <c r="S17" s="43"/>
      <c r="T17" s="43"/>
      <c r="U17" s="43"/>
    </row>
    <row r="18" spans="1:21" x14ac:dyDescent="0.2">
      <c r="A18" s="43"/>
      <c r="B18" s="201" t="s">
        <v>130</v>
      </c>
      <c r="C18" s="202"/>
      <c r="D18" s="202"/>
      <c r="E18" s="203"/>
      <c r="F18" s="105">
        <f>IF($F$9=$N$75,Avg!C11,Avg!C55-Avg!$C$51)</f>
        <v>30.624999999999996</v>
      </c>
      <c r="G18" s="105">
        <f>IF($F$9=$N$75,Avg!D11,Avg!D55-Avg!$C$51)</f>
        <v>27.5</v>
      </c>
      <c r="H18" s="105">
        <f>IF($F$9=$N$75,Avg!E11,Avg!E55-Avg!$C$51/2)</f>
        <v>0</v>
      </c>
      <c r="I18" s="105">
        <f>IF($F$9=$N$75,Avg!F11,Avg!F55-Avg!$C$51/2)</f>
        <v>19.6875</v>
      </c>
      <c r="J18" s="106">
        <f>IF($F$9=$N$75,Avg!G11,Avg!G55-Avg!$C$51)</f>
        <v>14</v>
      </c>
      <c r="K18" s="43"/>
      <c r="L18" s="51"/>
      <c r="M18" s="43"/>
      <c r="N18" s="43"/>
      <c r="O18" s="43"/>
      <c r="P18" s="43"/>
      <c r="Q18" s="43"/>
      <c r="R18" s="43"/>
      <c r="S18" s="43"/>
      <c r="T18" s="43"/>
      <c r="U18" s="43"/>
    </row>
    <row r="19" spans="1:21" x14ac:dyDescent="0.2">
      <c r="A19" s="52"/>
      <c r="B19" s="259" t="str">
        <f>IF(F9=N75,"Flex Rent (Base+Bonus)","Flex Rent (Revenue Percentage)")</f>
        <v>Flex Rent (Base+Bonus)</v>
      </c>
      <c r="C19" s="260"/>
      <c r="D19" s="260"/>
      <c r="E19" s="261"/>
      <c r="F19" s="132">
        <f>IF(F8=0,0,IF($F$9=$N$75,Avg!C12,Avg!C55))</f>
        <v>155.625</v>
      </c>
      <c r="G19" s="132">
        <f>IF(G8=0,0,IF($F$9=$N$75,Avg!D12,Avg!D55))</f>
        <v>152.5</v>
      </c>
      <c r="H19" s="132">
        <f>IF(H8=0,0,IF($F$9=$N$75,Avg!E12,Avg!E55))</f>
        <v>0</v>
      </c>
      <c r="I19" s="132">
        <f>IF(H8=0,0,IF($F$9=$N$75,Avg!F12,Avg!F55))</f>
        <v>0</v>
      </c>
      <c r="J19" s="133">
        <f>IF(J8=0,0,IF($F$9=$N$75,Avg!G12,Avg!G55))</f>
        <v>139</v>
      </c>
      <c r="K19" s="51"/>
      <c r="L19" s="51"/>
      <c r="M19" s="43"/>
      <c r="N19" s="43"/>
      <c r="O19" s="43"/>
      <c r="P19" s="43"/>
      <c r="Q19" s="43"/>
      <c r="R19" s="43"/>
      <c r="S19" s="43"/>
      <c r="T19" s="43"/>
      <c r="U19" s="43"/>
    </row>
    <row r="20" spans="1:21" x14ac:dyDescent="0.2">
      <c r="A20" s="43"/>
      <c r="B20" s="259" t="str">
        <f>IF(F9=N75,"Flex Rent (Base+Bonus) Avg. All Crops","Flex Rent (Revenue Percentage) Avg. All Crops")</f>
        <v>Flex Rent (Base+Bonus) Avg. All Crops</v>
      </c>
      <c r="C20" s="260"/>
      <c r="D20" s="260"/>
      <c r="E20" s="261"/>
      <c r="F20" s="291">
        <f>IF($F$12=$L$75,F19*F8+G19*G8+J19*J8,F19*F8+G19*G8+H19*H8+I19*H8)</f>
        <v>150.6875</v>
      </c>
      <c r="G20" s="292"/>
      <c r="H20" s="292"/>
      <c r="I20" s="292"/>
      <c r="J20" s="293"/>
      <c r="K20" s="65"/>
      <c r="L20" s="51"/>
      <c r="M20" s="43"/>
      <c r="N20" s="43"/>
      <c r="O20" s="43"/>
      <c r="P20" s="43"/>
      <c r="Q20" s="43"/>
      <c r="R20" s="43"/>
      <c r="S20" s="43"/>
      <c r="T20" s="43"/>
      <c r="U20" s="43"/>
    </row>
    <row r="21" spans="1:21" x14ac:dyDescent="0.2">
      <c r="A21" s="43"/>
      <c r="B21" s="253" t="s">
        <v>30</v>
      </c>
      <c r="C21" s="254"/>
      <c r="D21" s="254"/>
      <c r="E21" s="255"/>
      <c r="F21" s="246">
        <v>150</v>
      </c>
      <c r="G21" s="246"/>
      <c r="H21" s="246"/>
      <c r="I21" s="246"/>
      <c r="J21" s="247"/>
      <c r="K21" s="65"/>
      <c r="L21" s="51"/>
      <c r="M21" s="43"/>
      <c r="N21" s="43"/>
      <c r="O21" s="43"/>
      <c r="P21" s="43"/>
      <c r="Q21" s="43"/>
      <c r="R21" s="43"/>
      <c r="S21" s="43"/>
      <c r="T21" s="43"/>
      <c r="U21" s="43"/>
    </row>
    <row r="22" spans="1:21" x14ac:dyDescent="0.2">
      <c r="A22" s="43"/>
      <c r="B22" s="299"/>
      <c r="C22" s="300"/>
      <c r="D22" s="300"/>
      <c r="E22" s="301"/>
      <c r="F22" s="179"/>
      <c r="G22" s="180"/>
      <c r="H22" s="180"/>
      <c r="I22" s="180"/>
      <c r="J22" s="181"/>
      <c r="K22" s="65"/>
      <c r="L22" s="51"/>
      <c r="M22" s="43"/>
      <c r="N22" s="43"/>
      <c r="O22" s="43"/>
      <c r="P22" s="43"/>
      <c r="Q22" s="43"/>
      <c r="R22" s="43"/>
      <c r="S22" s="43"/>
      <c r="T22" s="43"/>
      <c r="U22" s="43"/>
    </row>
    <row r="23" spans="1:21" x14ac:dyDescent="0.2">
      <c r="A23" s="43"/>
      <c r="B23" s="225" t="s">
        <v>133</v>
      </c>
      <c r="C23" s="226"/>
      <c r="D23" s="226"/>
      <c r="E23" s="227"/>
      <c r="F23" s="296" t="s">
        <v>34</v>
      </c>
      <c r="G23" s="297"/>
      <c r="H23" s="297"/>
      <c r="I23" s="297"/>
      <c r="J23" s="298"/>
      <c r="K23" s="43"/>
      <c r="L23" s="51" t="s">
        <v>149</v>
      </c>
      <c r="M23" s="51"/>
      <c r="N23" s="51"/>
      <c r="O23" s="51"/>
      <c r="P23" s="51"/>
      <c r="Q23" s="51"/>
      <c r="R23" s="51"/>
      <c r="S23" s="51"/>
      <c r="T23" s="43"/>
      <c r="U23" s="43"/>
    </row>
    <row r="24" spans="1:21" x14ac:dyDescent="0.2">
      <c r="A24" s="43"/>
      <c r="B24" s="222" t="s">
        <v>132</v>
      </c>
      <c r="C24" s="223"/>
      <c r="D24" s="223"/>
      <c r="E24" s="224"/>
      <c r="F24" s="58"/>
      <c r="G24" s="58"/>
      <c r="H24" s="58"/>
      <c r="I24" s="58"/>
      <c r="J24" s="59"/>
      <c r="K24" s="43"/>
      <c r="L24" s="43"/>
      <c r="M24" s="43"/>
      <c r="N24" s="43"/>
      <c r="O24" s="43"/>
      <c r="P24" s="43"/>
      <c r="Q24" s="43"/>
      <c r="R24" s="43"/>
      <c r="S24" s="43"/>
      <c r="T24" s="43"/>
      <c r="U24" s="43"/>
    </row>
    <row r="25" spans="1:21" x14ac:dyDescent="0.2">
      <c r="A25" s="43"/>
      <c r="B25" s="237" t="s">
        <v>2</v>
      </c>
      <c r="C25" s="238"/>
      <c r="D25" s="238"/>
      <c r="E25" s="239"/>
      <c r="F25" s="187">
        <v>275</v>
      </c>
      <c r="G25" s="187">
        <v>150</v>
      </c>
      <c r="H25" s="187">
        <v>140</v>
      </c>
      <c r="I25" s="187">
        <v>150</v>
      </c>
      <c r="J25" s="60">
        <f>H25+I25</f>
        <v>290</v>
      </c>
      <c r="K25" s="43"/>
      <c r="L25" s="51" t="s">
        <v>142</v>
      </c>
      <c r="M25" s="52"/>
      <c r="N25" s="52"/>
      <c r="O25" s="52"/>
      <c r="P25" s="52"/>
      <c r="Q25" s="52"/>
      <c r="R25" s="52"/>
      <c r="S25" s="43"/>
      <c r="T25" s="43"/>
      <c r="U25" s="43"/>
    </row>
    <row r="26" spans="1:21" x14ac:dyDescent="0.2">
      <c r="A26" s="43"/>
      <c r="B26" s="228" t="s">
        <v>6</v>
      </c>
      <c r="C26" s="229"/>
      <c r="D26" s="229"/>
      <c r="E26" s="230"/>
      <c r="F26" s="187">
        <v>140</v>
      </c>
      <c r="G26" s="187">
        <v>90</v>
      </c>
      <c r="H26" s="187">
        <v>90</v>
      </c>
      <c r="I26" s="187">
        <v>85</v>
      </c>
      <c r="J26" s="60">
        <f t="shared" ref="J26:J27" si="0">H26+I26</f>
        <v>175</v>
      </c>
      <c r="K26" s="43" t="s">
        <v>15</v>
      </c>
      <c r="L26" s="51" t="s">
        <v>143</v>
      </c>
      <c r="M26" s="52"/>
      <c r="N26" s="52"/>
      <c r="O26" s="52"/>
      <c r="P26" s="52"/>
      <c r="Q26" s="52"/>
      <c r="R26" s="52"/>
      <c r="S26" s="43"/>
      <c r="T26" s="43"/>
      <c r="U26" s="43"/>
    </row>
    <row r="27" spans="1:21" x14ac:dyDescent="0.2">
      <c r="A27" s="43"/>
      <c r="B27" s="237" t="s">
        <v>64</v>
      </c>
      <c r="C27" s="238"/>
      <c r="D27" s="238"/>
      <c r="E27" s="239"/>
      <c r="F27" s="187">
        <v>60</v>
      </c>
      <c r="G27" s="187">
        <v>40</v>
      </c>
      <c r="H27" s="187">
        <v>40</v>
      </c>
      <c r="I27" s="187">
        <v>40</v>
      </c>
      <c r="J27" s="60">
        <f t="shared" si="0"/>
        <v>80</v>
      </c>
      <c r="K27" s="51"/>
      <c r="L27" s="51" t="s">
        <v>144</v>
      </c>
      <c r="M27" s="52"/>
      <c r="N27" s="52"/>
      <c r="O27" s="52"/>
      <c r="P27" s="52"/>
      <c r="Q27" s="52"/>
      <c r="R27" s="52"/>
      <c r="S27" s="43"/>
      <c r="T27" s="43"/>
      <c r="U27" s="43"/>
    </row>
    <row r="28" spans="1:21" x14ac:dyDescent="0.2">
      <c r="A28" s="43"/>
      <c r="B28" s="201" t="s">
        <v>93</v>
      </c>
      <c r="C28" s="202"/>
      <c r="D28" s="202"/>
      <c r="E28" s="203"/>
      <c r="F28" s="61">
        <f>SUM(F25:F27)</f>
        <v>475</v>
      </c>
      <c r="G28" s="61">
        <f>SUM(G25:G27)</f>
        <v>280</v>
      </c>
      <c r="H28" s="61">
        <f>SUM(H25:H27)</f>
        <v>270</v>
      </c>
      <c r="I28" s="61">
        <f>SUM(I25:I27)</f>
        <v>275</v>
      </c>
      <c r="J28" s="62">
        <f>SUM(J25:J27)</f>
        <v>545</v>
      </c>
      <c r="K28" s="43"/>
      <c r="L28" s="51" t="s">
        <v>145</v>
      </c>
      <c r="M28" s="52"/>
      <c r="N28" s="52"/>
      <c r="O28" s="52"/>
      <c r="P28" s="52"/>
      <c r="Q28" s="52"/>
      <c r="R28" s="52"/>
      <c r="S28" s="43"/>
      <c r="T28" s="43"/>
      <c r="U28" s="43"/>
    </row>
    <row r="29" spans="1:21" x14ac:dyDescent="0.2">
      <c r="A29" s="43"/>
      <c r="B29" s="234"/>
      <c r="C29" s="235"/>
      <c r="D29" s="235"/>
      <c r="E29" s="236"/>
      <c r="F29" s="58"/>
      <c r="G29" s="58"/>
      <c r="H29" s="58"/>
      <c r="I29" s="58"/>
      <c r="J29" s="59"/>
      <c r="K29" s="43"/>
      <c r="L29" s="52"/>
      <c r="M29" s="52"/>
      <c r="N29" s="52"/>
      <c r="O29" s="52"/>
      <c r="P29" s="52"/>
      <c r="Q29" s="52"/>
      <c r="R29" s="52"/>
      <c r="S29" s="43"/>
      <c r="T29" s="43"/>
      <c r="U29" s="43"/>
    </row>
    <row r="30" spans="1:21" x14ac:dyDescent="0.2">
      <c r="A30" s="43"/>
      <c r="B30" s="231" t="s">
        <v>114</v>
      </c>
      <c r="C30" s="232"/>
      <c r="D30" s="232"/>
      <c r="E30" s="233"/>
      <c r="F30" s="58"/>
      <c r="G30" s="58"/>
      <c r="H30" s="58"/>
      <c r="I30" s="58"/>
      <c r="J30" s="59"/>
      <c r="K30" s="43"/>
      <c r="L30" s="52"/>
      <c r="M30" s="52"/>
      <c r="N30" s="52"/>
      <c r="O30" s="52"/>
      <c r="P30" s="52"/>
      <c r="Q30" s="52"/>
      <c r="R30" s="52"/>
      <c r="S30" s="43"/>
      <c r="T30" s="43"/>
      <c r="U30" s="43"/>
    </row>
    <row r="31" spans="1:21" x14ac:dyDescent="0.2">
      <c r="A31" s="43"/>
      <c r="B31" s="237" t="s">
        <v>16</v>
      </c>
      <c r="C31" s="238"/>
      <c r="D31" s="238"/>
      <c r="E31" s="239"/>
      <c r="F31" s="61">
        <f>F4*F5</f>
        <v>562.5</v>
      </c>
      <c r="G31" s="61">
        <f>G4*G5</f>
        <v>393.75</v>
      </c>
      <c r="H31" s="61">
        <f>H4*H5</f>
        <v>308.75</v>
      </c>
      <c r="I31" s="61">
        <f>I4*I5</f>
        <v>306.25</v>
      </c>
      <c r="J31" s="62">
        <f>J4*J5</f>
        <v>615</v>
      </c>
      <c r="K31" s="43"/>
      <c r="L31" s="51" t="s">
        <v>146</v>
      </c>
      <c r="M31" s="52"/>
      <c r="N31" s="52"/>
      <c r="O31" s="52"/>
      <c r="P31" s="52"/>
      <c r="Q31" s="52"/>
      <c r="R31" s="52"/>
      <c r="S31" s="43"/>
      <c r="T31" s="43"/>
      <c r="U31" s="43"/>
    </row>
    <row r="32" spans="1:21" hidden="1" x14ac:dyDescent="0.2">
      <c r="A32" s="43"/>
      <c r="B32" s="253" t="s">
        <v>8</v>
      </c>
      <c r="C32" s="254"/>
      <c r="D32" s="254"/>
      <c r="E32" s="255"/>
      <c r="F32" s="56">
        <f>F31+F7+E79+E80</f>
        <v>562.5</v>
      </c>
      <c r="G32" s="56">
        <f>G31+G7+F79+F80</f>
        <v>393.75</v>
      </c>
      <c r="H32" s="56">
        <f>H31+H7+G79+G80</f>
        <v>308.75</v>
      </c>
      <c r="I32" s="56">
        <f>I31+I7+H79+H80</f>
        <v>306.25</v>
      </c>
      <c r="J32" s="57">
        <f>J31+J7+I79+I80</f>
        <v>615</v>
      </c>
      <c r="K32" s="43"/>
      <c r="L32" s="52" t="s">
        <v>53</v>
      </c>
      <c r="M32" s="52"/>
      <c r="N32" s="52"/>
      <c r="O32" s="52"/>
      <c r="P32" s="52"/>
      <c r="Q32" s="52"/>
      <c r="R32" s="52"/>
      <c r="S32" s="43"/>
      <c r="T32" s="43"/>
      <c r="U32" s="43"/>
    </row>
    <row r="33" spans="1:23" x14ac:dyDescent="0.2">
      <c r="A33" s="43"/>
      <c r="B33" s="201" t="s">
        <v>101</v>
      </c>
      <c r="C33" s="202"/>
      <c r="D33" s="202"/>
      <c r="E33" s="203"/>
      <c r="F33" s="84">
        <f>SUM(F25:F27,F19)</f>
        <v>630.625</v>
      </c>
      <c r="G33" s="84">
        <f>SUM(G25:G27,G19)</f>
        <v>432.5</v>
      </c>
      <c r="H33" s="84">
        <f>SUM(H25:H27,H19)</f>
        <v>270</v>
      </c>
      <c r="I33" s="84">
        <f>SUM(I25:I27,I19)</f>
        <v>275</v>
      </c>
      <c r="J33" s="99">
        <f>SUM(J25:J27,J19)</f>
        <v>684</v>
      </c>
      <c r="K33" s="43"/>
      <c r="L33" s="51" t="s">
        <v>145</v>
      </c>
      <c r="M33" s="52"/>
      <c r="N33" s="52"/>
      <c r="O33" s="52"/>
      <c r="P33" s="52"/>
      <c r="Q33" s="52"/>
      <c r="R33" s="52"/>
      <c r="S33" s="43"/>
      <c r="T33" s="43"/>
      <c r="U33" s="43"/>
    </row>
    <row r="34" spans="1:23" x14ac:dyDescent="0.2">
      <c r="A34" s="43"/>
      <c r="B34" s="259" t="s">
        <v>17</v>
      </c>
      <c r="C34" s="260"/>
      <c r="D34" s="260"/>
      <c r="E34" s="261"/>
      <c r="F34" s="132">
        <f>F32-F33</f>
        <v>-68.125</v>
      </c>
      <c r="G34" s="132">
        <f>G32-G33</f>
        <v>-38.75</v>
      </c>
      <c r="H34" s="132">
        <f>H32-H33</f>
        <v>38.75</v>
      </c>
      <c r="I34" s="132">
        <f>I32-I33</f>
        <v>31.25</v>
      </c>
      <c r="J34" s="133">
        <f>J32-J33</f>
        <v>-69</v>
      </c>
      <c r="K34" s="43"/>
      <c r="L34" s="51" t="s">
        <v>147</v>
      </c>
      <c r="M34" s="52"/>
      <c r="N34" s="52"/>
      <c r="O34" s="52"/>
      <c r="P34" s="52"/>
      <c r="Q34" s="52"/>
      <c r="R34" s="52"/>
      <c r="S34" s="43"/>
      <c r="T34" s="43"/>
      <c r="U34" s="43"/>
    </row>
    <row r="35" spans="1:23" ht="13.5" thickBot="1" x14ac:dyDescent="0.25">
      <c r="A35" s="43"/>
      <c r="B35" s="240" t="s">
        <v>116</v>
      </c>
      <c r="C35" s="241"/>
      <c r="D35" s="241"/>
      <c r="E35" s="242"/>
      <c r="F35" s="306">
        <f>IF(F12=L76,F34*F8+G34*G8+H34*H8+I34*H8,F34*F8+G34*G8+J34*J8)</f>
        <v>-61</v>
      </c>
      <c r="G35" s="306"/>
      <c r="H35" s="306"/>
      <c r="I35" s="306"/>
      <c r="J35" s="307"/>
      <c r="K35" s="43"/>
      <c r="L35" s="51" t="s">
        <v>148</v>
      </c>
      <c r="M35" s="52"/>
      <c r="N35" s="52"/>
      <c r="O35" s="52"/>
      <c r="P35" s="52"/>
      <c r="Q35" s="52"/>
      <c r="R35" s="52"/>
      <c r="S35" s="43"/>
      <c r="T35" s="43"/>
      <c r="U35" s="43"/>
    </row>
    <row r="36" spans="1:23" ht="14.25" thickTop="1" thickBot="1" x14ac:dyDescent="0.25">
      <c r="A36" s="43"/>
      <c r="B36" s="308"/>
      <c r="C36" s="309"/>
      <c r="D36" s="309"/>
      <c r="E36" s="309"/>
      <c r="F36" s="309"/>
      <c r="G36" s="309"/>
      <c r="H36" s="309"/>
      <c r="I36" s="309"/>
      <c r="J36" s="310"/>
      <c r="K36" s="43"/>
      <c r="L36" s="43"/>
      <c r="M36" s="43"/>
      <c r="N36" s="43"/>
      <c r="O36" s="43"/>
      <c r="P36" s="43"/>
      <c r="Q36" s="43"/>
      <c r="R36" s="43"/>
      <c r="S36" s="43"/>
      <c r="T36" s="43"/>
      <c r="U36" s="43"/>
    </row>
    <row r="37" spans="1:23" ht="13.5" thickTop="1" x14ac:dyDescent="0.2">
      <c r="A37" s="43"/>
      <c r="B37" s="66"/>
      <c r="C37" s="66"/>
      <c r="D37" s="66"/>
      <c r="E37" s="66"/>
      <c r="F37" s="66"/>
      <c r="G37" s="66"/>
      <c r="H37" s="66"/>
      <c r="I37" s="66"/>
      <c r="J37" s="66"/>
      <c r="K37" s="43"/>
      <c r="L37" s="43"/>
      <c r="M37" s="43"/>
      <c r="N37" s="43"/>
      <c r="O37" s="43"/>
      <c r="P37" s="43"/>
      <c r="Q37" s="43"/>
      <c r="R37" s="43"/>
      <c r="S37" s="43"/>
      <c r="T37" s="43"/>
      <c r="U37" s="43"/>
    </row>
    <row r="38" spans="1:23" ht="13.5" thickBot="1" x14ac:dyDescent="0.25">
      <c r="A38" s="43"/>
      <c r="B38" s="63"/>
      <c r="C38" s="63"/>
      <c r="D38" s="63"/>
      <c r="E38" s="63"/>
      <c r="F38" s="63"/>
      <c r="G38" s="63"/>
      <c r="H38" s="63"/>
      <c r="I38" s="63"/>
      <c r="J38" s="63"/>
      <c r="K38" s="43"/>
      <c r="L38" s="43"/>
      <c r="M38" s="43"/>
      <c r="N38" s="43"/>
      <c r="O38" s="43"/>
      <c r="P38" s="43"/>
      <c r="Q38" s="43"/>
      <c r="R38" s="43"/>
      <c r="S38" s="43"/>
      <c r="T38" s="43"/>
      <c r="U38" s="43"/>
    </row>
    <row r="39" spans="1:23" ht="24" customHeight="1" thickTop="1" thickBot="1" x14ac:dyDescent="0.25">
      <c r="A39" s="43"/>
      <c r="B39" s="288" t="s">
        <v>135</v>
      </c>
      <c r="C39" s="289"/>
      <c r="D39" s="289"/>
      <c r="E39" s="289"/>
      <c r="F39" s="289"/>
      <c r="G39" s="289"/>
      <c r="H39" s="289"/>
      <c r="I39" s="289"/>
      <c r="J39" s="289"/>
      <c r="K39" s="290"/>
      <c r="L39" s="43"/>
      <c r="M39" s="51"/>
      <c r="N39" s="43"/>
      <c r="O39" s="43"/>
      <c r="P39" s="43"/>
      <c r="Q39" s="43"/>
      <c r="R39" s="43"/>
      <c r="S39" s="43"/>
      <c r="T39" s="43"/>
      <c r="U39" s="43"/>
    </row>
    <row r="40" spans="1:23" ht="18.75" customHeight="1" thickTop="1" x14ac:dyDescent="0.2">
      <c r="A40" s="43"/>
      <c r="B40" s="286" t="s">
        <v>65</v>
      </c>
      <c r="C40" s="265" t="s">
        <v>66</v>
      </c>
      <c r="D40" s="294"/>
      <c r="E40" s="266" t="s">
        <v>75</v>
      </c>
      <c r="F40" s="276" t="s">
        <v>94</v>
      </c>
      <c r="G40" s="278" t="s">
        <v>125</v>
      </c>
      <c r="H40" s="265" t="s">
        <v>109</v>
      </c>
      <c r="I40" s="280" t="s">
        <v>134</v>
      </c>
      <c r="J40" s="305" t="s">
        <v>68</v>
      </c>
      <c r="K40" s="287" t="s">
        <v>69</v>
      </c>
      <c r="L40" s="43"/>
      <c r="M40" s="43"/>
      <c r="N40" s="43"/>
      <c r="O40" s="43"/>
      <c r="P40" s="43"/>
      <c r="Q40" s="43"/>
      <c r="R40" s="43"/>
      <c r="S40" s="43"/>
      <c r="T40" s="43"/>
      <c r="U40" s="43"/>
    </row>
    <row r="41" spans="1:23" ht="21.75" customHeight="1" x14ac:dyDescent="0.2">
      <c r="A41" s="43"/>
      <c r="B41" s="274"/>
      <c r="C41" s="266"/>
      <c r="D41" s="295"/>
      <c r="E41" s="275"/>
      <c r="F41" s="277"/>
      <c r="G41" s="279"/>
      <c r="H41" s="266"/>
      <c r="I41" s="281"/>
      <c r="J41" s="283"/>
      <c r="K41" s="285"/>
      <c r="L41" s="34"/>
      <c r="M41" s="67"/>
      <c r="N41" s="63"/>
      <c r="O41" s="43"/>
      <c r="P41" s="43"/>
      <c r="Q41" s="43"/>
      <c r="R41" s="43"/>
      <c r="S41" s="43"/>
      <c r="T41" s="43"/>
      <c r="U41" s="43"/>
      <c r="V41" s="43"/>
      <c r="W41" s="43"/>
    </row>
    <row r="42" spans="1:23" x14ac:dyDescent="0.2">
      <c r="A42" s="43"/>
      <c r="B42" s="114">
        <f t="shared" ref="B42:B43" si="1">B43-$C$74</f>
        <v>3</v>
      </c>
      <c r="C42" s="194">
        <f>B42*C$75</f>
        <v>7</v>
      </c>
      <c r="D42" s="195"/>
      <c r="E42" s="125">
        <f>B42*C$76</f>
        <v>3.8</v>
      </c>
      <c r="F42" s="141">
        <f>IF(F9=N75,'(-3)'!C12,'(-3)'!C55)</f>
        <v>125</v>
      </c>
      <c r="G42" s="142">
        <f>IF(F9=N75,'(-3)'!D12,'(-3)'!D55)</f>
        <v>125</v>
      </c>
      <c r="H42" s="121">
        <f>IF(F9=N75,IF(F12=L75,'(-3)'!G12,'(-3)'!E12+'(-3)'!F12),IF(F9=N76,IF(F12=L75,'(-3)'!G55,'(-3)'!F55+'(-3)'!E55)))</f>
        <v>125</v>
      </c>
      <c r="I42" s="167">
        <f>IF(F9=N75,'(-3)'!C13,'(-3)'!C56)</f>
        <v>125</v>
      </c>
      <c r="J42" s="165">
        <f>IF(F9=N75,'(-3)'!C43,'(-3)'!C86)</f>
        <v>-142</v>
      </c>
      <c r="K42" s="169">
        <f>IF(F9=N75,J42+'(-3)'!C13-$F21,J42+'(-3)'!C56-$F21)</f>
        <v>-167</v>
      </c>
      <c r="L42" s="64"/>
      <c r="M42" s="67"/>
      <c r="N42" s="33"/>
      <c r="O42" s="43"/>
      <c r="P42" s="43"/>
      <c r="Q42" s="43"/>
      <c r="R42" s="43"/>
      <c r="S42" s="43"/>
      <c r="T42" s="43"/>
      <c r="U42" s="43"/>
      <c r="V42" s="43"/>
      <c r="W42" s="43"/>
    </row>
    <row r="43" spans="1:23" x14ac:dyDescent="0.2">
      <c r="A43" s="43"/>
      <c r="B43" s="114">
        <f t="shared" si="1"/>
        <v>3.25</v>
      </c>
      <c r="C43" s="194">
        <f t="shared" ref="C43:C44" si="2">B43*C$75</f>
        <v>7.5833333333333339</v>
      </c>
      <c r="D43" s="195"/>
      <c r="E43" s="139">
        <f t="shared" ref="E43:E44" si="3">B43*C$76</f>
        <v>4.1166666666666663</v>
      </c>
      <c r="F43" s="141">
        <f>IF(F9=N75,'(-2)'!C12,'(-2)'!C55)</f>
        <v>129.375</v>
      </c>
      <c r="G43" s="142">
        <f>IF(F9=N75,'(-2)'!D12,'(-2)'!D55)</f>
        <v>131.5</v>
      </c>
      <c r="H43" s="121">
        <f>IF(F9=N75,IF(F12=L75,'(-2)'!G12,'(-2)'!E12+'(-2)'!F12),IF(F9=N76,IF(F12=L75,'(-2)'!G55,'(-2)'!F55+'(-2)'!E55)))</f>
        <v>125</v>
      </c>
      <c r="I43" s="167">
        <f>IF(F9=N75,'(-2)'!C13,'(-2)'!C56)</f>
        <v>128.8125</v>
      </c>
      <c r="J43" s="165">
        <f>IF(F9=N75,'(-2)'!C43,'(-2)'!C86)</f>
        <v>-110.25</v>
      </c>
      <c r="K43" s="169">
        <f>IF(F9=N75,J43+'(-2)'!C13-$F21,J43+'(-2)'!C56-$F21)</f>
        <v>-131.4375</v>
      </c>
      <c r="L43" s="64"/>
      <c r="M43" s="103"/>
      <c r="N43" s="52"/>
      <c r="O43" s="52"/>
      <c r="P43" s="43"/>
      <c r="Q43" s="43"/>
      <c r="R43" s="43"/>
      <c r="S43" s="43"/>
      <c r="T43" s="43"/>
      <c r="U43" s="43"/>
      <c r="V43" s="43"/>
      <c r="W43" s="43"/>
    </row>
    <row r="44" spans="1:23" x14ac:dyDescent="0.2">
      <c r="A44" s="43"/>
      <c r="B44" s="114">
        <f>B45-$C$74</f>
        <v>3.5</v>
      </c>
      <c r="C44" s="194">
        <f t="shared" si="2"/>
        <v>8.1666666666666679</v>
      </c>
      <c r="D44" s="195"/>
      <c r="E44" s="139">
        <f t="shared" si="3"/>
        <v>4.4333333333333336</v>
      </c>
      <c r="F44" s="141">
        <f>IF(F9=N75,'(-1)'!C12,'(-1)'!C55)</f>
        <v>142.5</v>
      </c>
      <c r="G44" s="142">
        <f>IF(F9=N75,'(-1)'!D12,'(-1)'!D55)</f>
        <v>142.00000000000003</v>
      </c>
      <c r="H44" s="121">
        <f>IF(F9=N75,IF(F12=L75,'(-1)'!G12,'(-1)'!E12+'(-1)'!F12),IF(F9=N76,IF(F12=L75,'(-1)'!G55,'(-1)'!F55+'(-1)'!E55)))</f>
        <v>125</v>
      </c>
      <c r="I44" s="167">
        <f>IF(F9=N75,'(-1)'!C13,'(-1)'!C56)</f>
        <v>138</v>
      </c>
      <c r="J44" s="165">
        <f>IF(F9=N75,'(-1)'!C43,'(-1)'!C86)</f>
        <v>-83.874999999999986</v>
      </c>
      <c r="K44" s="169">
        <f>IF(F9=N75,J44+'(-1)'!C13-$F21,J44+'(-1)'!C56-$F21)</f>
        <v>-95.874999999999986</v>
      </c>
      <c r="L44" s="64"/>
      <c r="M44" s="103"/>
      <c r="N44" s="51"/>
      <c r="O44" s="52"/>
      <c r="P44" s="43"/>
      <c r="Q44" s="43"/>
      <c r="R44" s="43"/>
      <c r="S44" s="43"/>
      <c r="T44" s="43"/>
      <c r="U44" s="43"/>
      <c r="V44" s="43"/>
      <c r="W44" s="43"/>
    </row>
    <row r="45" spans="1:23" x14ac:dyDescent="0.2">
      <c r="A45" s="43"/>
      <c r="B45" s="109">
        <f>F5</f>
        <v>3.75</v>
      </c>
      <c r="C45" s="196">
        <f>G5</f>
        <v>8.75</v>
      </c>
      <c r="D45" s="197"/>
      <c r="E45" s="127">
        <f>H5</f>
        <v>4.75</v>
      </c>
      <c r="F45" s="116">
        <f>F19</f>
        <v>155.625</v>
      </c>
      <c r="G45" s="117">
        <f>G19</f>
        <v>152.5</v>
      </c>
      <c r="H45" s="118">
        <f>IF(F12=L75,J19,H19+I19)</f>
        <v>139</v>
      </c>
      <c r="I45" s="166">
        <f>IF(F9=N75,Avg!C13,Avg!C56)</f>
        <v>150.6875</v>
      </c>
      <c r="J45" s="170">
        <f>IF(F9=N75,Avg!C43,Avg!C86)</f>
        <v>-61</v>
      </c>
      <c r="K45" s="171">
        <f>IF(F9=N75,J45+Avg!C$13-F$21,J45+Avg!C$56-F$21)</f>
        <v>-60.3125</v>
      </c>
      <c r="L45" s="64"/>
      <c r="M45" s="107"/>
      <c r="N45" s="150"/>
      <c r="O45" s="52"/>
      <c r="P45" s="43"/>
      <c r="Q45" s="43"/>
      <c r="R45" s="43"/>
      <c r="S45" s="43"/>
      <c r="T45" s="43"/>
      <c r="U45" s="43"/>
      <c r="V45" s="43"/>
      <c r="W45" s="43"/>
    </row>
    <row r="46" spans="1:23" x14ac:dyDescent="0.2">
      <c r="A46" s="43"/>
      <c r="B46" s="114">
        <f>B45+$C$74</f>
        <v>4</v>
      </c>
      <c r="C46" s="194">
        <f t="shared" ref="C46:C48" si="4">B46*C$75</f>
        <v>9.3333333333333339</v>
      </c>
      <c r="D46" s="195"/>
      <c r="E46" s="139">
        <f t="shared" ref="E46:E48" si="5">B46*C$76</f>
        <v>5.0666666666666664</v>
      </c>
      <c r="F46" s="141">
        <f>IF(F9=N75,'(+1)'!C12,'(+1)'!C55)</f>
        <v>168.75</v>
      </c>
      <c r="G46" s="142">
        <f>IF(F9=N75,'(+1)'!D12,'(+1)'!D55)</f>
        <v>163</v>
      </c>
      <c r="H46" s="110">
        <f>IF(F9=N75,IF(F12=L75,'(+1)'!G12,'(+1)'!E12+'(+1)'!F12),IF(F9=N76,IF(F12=L75,'(+1)'!G55,'(+1)'!F55+'(+1)'!E55)))</f>
        <v>153.35</v>
      </c>
      <c r="I46" s="167">
        <f>IF(F9=N75,'(+1)'!C13,'(+1)'!C56)</f>
        <v>163.46250000000001</v>
      </c>
      <c r="J46" s="165">
        <f>IF(F9=N75,'(+1)'!C43,'(+1)'!C86)</f>
        <v>-38.212500000000006</v>
      </c>
      <c r="K46" s="169">
        <f>IF(F9=N75,J46+'(+1)'!C13-$F21,J46+'(+1)'!C56-$F21)</f>
        <v>-24.75</v>
      </c>
      <c r="L46" s="64"/>
      <c r="M46" s="104"/>
      <c r="N46" s="52"/>
      <c r="O46" s="52"/>
      <c r="P46" s="43"/>
      <c r="Q46" s="43"/>
      <c r="R46" s="43"/>
      <c r="S46" s="43"/>
      <c r="T46" s="43"/>
      <c r="U46" s="43"/>
      <c r="V46" s="43"/>
      <c r="W46" s="43"/>
    </row>
    <row r="47" spans="1:23" x14ac:dyDescent="0.2">
      <c r="A47" s="43"/>
      <c r="B47" s="114">
        <f t="shared" ref="B47:B48" si="6">B46+$C$74</f>
        <v>4.25</v>
      </c>
      <c r="C47" s="194">
        <f t="shared" si="4"/>
        <v>9.9166666666666679</v>
      </c>
      <c r="D47" s="195"/>
      <c r="E47" s="139">
        <f t="shared" si="5"/>
        <v>5.3833333333333329</v>
      </c>
      <c r="F47" s="141">
        <f>IF(F9=N75,'(+2)'!C12,'(+2)'!C55)</f>
        <v>181.875</v>
      </c>
      <c r="G47" s="142">
        <f>IF(F9=N75,'(+2)'!D12,'(+2)'!D55)</f>
        <v>173.50000000000003</v>
      </c>
      <c r="H47" s="121">
        <f>IF(F9=N75,IF(F12=L75,'(+2)'!G12,'(+2)'!E12+'(+2)'!F12),IF(F9=N76,IF(F12=L75,'(+2)'!G55,'(+2)'!F55+'(+2)'!E55)))</f>
        <v>167.70000000000005</v>
      </c>
      <c r="I47" s="167">
        <f>IF(F9=N75,'(+2)'!C13,'(+2)'!C56)</f>
        <v>176.23750000000001</v>
      </c>
      <c r="J47" s="165">
        <f>IF(F9=N75,'(+2)'!C43,'(+2)'!C86)</f>
        <v>-15.424999999999969</v>
      </c>
      <c r="K47" s="169">
        <f>IF(F9=N75,J47+'(+2)'!C13-$F21,J47+'(+2)'!C56-$F21)</f>
        <v>10.812500000000057</v>
      </c>
      <c r="L47" s="64"/>
      <c r="M47" s="104"/>
      <c r="N47" s="52"/>
      <c r="O47" s="52"/>
      <c r="P47" s="43"/>
      <c r="Q47" s="43"/>
      <c r="R47" s="43"/>
      <c r="S47" s="43"/>
      <c r="T47" s="43"/>
      <c r="U47" s="43"/>
      <c r="V47" s="43"/>
      <c r="W47" s="43"/>
    </row>
    <row r="48" spans="1:23" ht="13.5" thickBot="1" x14ac:dyDescent="0.25">
      <c r="A48" s="43"/>
      <c r="B48" s="115">
        <f t="shared" si="6"/>
        <v>4.5</v>
      </c>
      <c r="C48" s="194">
        <f t="shared" si="4"/>
        <v>10.5</v>
      </c>
      <c r="D48" s="195"/>
      <c r="E48" s="139">
        <f t="shared" si="5"/>
        <v>5.6999999999999993</v>
      </c>
      <c r="F48" s="143">
        <f>IF(F9=N75,'(+3)'!C12,'(+3)'!C55)</f>
        <v>195</v>
      </c>
      <c r="G48" s="146">
        <f>IF(F9=N75,'(+3)'!D12,'(+3)'!D55)</f>
        <v>184</v>
      </c>
      <c r="H48" s="147">
        <f>IF(F9=N75,IF(F12=L75,'(+3)'!G12,'(+3)'!E12+'(+3)'!F12),IF(F9=N76,IF(F12=L75,'(+3)'!G55,'(+3)'!F55+'(+3)'!E55)))</f>
        <v>182.04999999999995</v>
      </c>
      <c r="I48" s="168">
        <f>IF(F9=N75,'(+3)'!C13,'(+3)'!C56)</f>
        <v>189.01249999999999</v>
      </c>
      <c r="J48" s="172">
        <f>IF(F9=N75,'(+3)'!C43,'(+3)'!C86)</f>
        <v>7.3624999999999829</v>
      </c>
      <c r="K48" s="173">
        <f>IF(F9=N75,J48+'(+3)'!C13-$F21,J48+'(+3)'!C56-$F21)</f>
        <v>46.374999999999972</v>
      </c>
      <c r="L48" s="64"/>
      <c r="M48" s="101"/>
      <c r="N48" s="65"/>
      <c r="O48" s="43"/>
      <c r="P48" s="43"/>
      <c r="Q48" s="43"/>
      <c r="R48" s="43"/>
      <c r="S48" s="43"/>
      <c r="T48" s="43"/>
      <c r="U48" s="43"/>
      <c r="V48" s="43"/>
      <c r="W48" s="43"/>
    </row>
    <row r="49" spans="1:21" ht="42" customHeight="1" thickTop="1" thickBot="1" x14ac:dyDescent="0.25">
      <c r="A49" s="43"/>
      <c r="B49" s="198" t="str">
        <f>IF(F9=N75,D96&amp;D93,D96&amp;D94)</f>
        <v>Note: Table is calculated assuming a yield of 150, 45, 65, and 35 bushels per acre for corn, full season soybeans, wheat, and double cropped soybeans, respectively. $125 Base Land Rent plus 35% Corn Revenue over $475, 40% Soybean Revenue over $325, and 35% Double Cropped Wheat and Soybean Revenue over $575.</v>
      </c>
      <c r="C49" s="199"/>
      <c r="D49" s="199"/>
      <c r="E49" s="199"/>
      <c r="F49" s="199"/>
      <c r="G49" s="199"/>
      <c r="H49" s="199"/>
      <c r="I49" s="199"/>
      <c r="J49" s="199"/>
      <c r="K49" s="200"/>
      <c r="L49" s="43"/>
      <c r="M49" s="43"/>
      <c r="N49" s="43"/>
      <c r="O49" s="43"/>
      <c r="P49" s="43"/>
      <c r="Q49" s="43"/>
      <c r="R49" s="43"/>
      <c r="S49" s="43"/>
      <c r="T49" s="43"/>
      <c r="U49" s="43"/>
    </row>
    <row r="50" spans="1:21" ht="13.5" thickTop="1" x14ac:dyDescent="0.2">
      <c r="A50" s="43"/>
      <c r="B50" s="67"/>
      <c r="C50" s="67"/>
      <c r="D50" s="63"/>
      <c r="E50" s="63"/>
      <c r="F50" s="63"/>
      <c r="G50" s="63"/>
      <c r="H50" s="63"/>
      <c r="I50" s="63"/>
      <c r="J50" s="63"/>
      <c r="K50" s="63"/>
      <c r="L50" s="43"/>
      <c r="M50" s="43"/>
      <c r="N50" s="43"/>
      <c r="O50" s="43"/>
      <c r="P50" s="43"/>
      <c r="Q50" s="43"/>
      <c r="R50" s="43"/>
      <c r="S50" s="43"/>
      <c r="T50" s="43"/>
      <c r="U50" s="43"/>
    </row>
    <row r="51" spans="1:21" ht="13.5" thickBot="1" x14ac:dyDescent="0.25">
      <c r="A51" s="43"/>
      <c r="B51" s="63"/>
      <c r="C51" s="63"/>
      <c r="D51" s="63"/>
      <c r="E51" s="63"/>
      <c r="F51" s="63"/>
      <c r="G51" s="63"/>
      <c r="H51" s="63"/>
      <c r="I51" s="63"/>
      <c r="J51" s="63"/>
      <c r="K51" s="63"/>
      <c r="L51" s="43"/>
      <c r="M51" s="43"/>
      <c r="N51" s="43"/>
      <c r="O51" s="43"/>
      <c r="P51" s="43"/>
      <c r="Q51" s="43"/>
      <c r="R51" s="43"/>
      <c r="S51" s="43"/>
      <c r="T51" s="43"/>
      <c r="U51" s="43"/>
    </row>
    <row r="52" spans="1:21" ht="22.5" customHeight="1" thickTop="1" thickBot="1" x14ac:dyDescent="0.25">
      <c r="A52" s="43"/>
      <c r="B52" s="270" t="s">
        <v>136</v>
      </c>
      <c r="C52" s="271"/>
      <c r="D52" s="271"/>
      <c r="E52" s="271"/>
      <c r="F52" s="271"/>
      <c r="G52" s="271"/>
      <c r="H52" s="271"/>
      <c r="I52" s="271"/>
      <c r="J52" s="271"/>
      <c r="K52" s="272"/>
      <c r="L52" s="43"/>
      <c r="M52" s="51"/>
      <c r="N52" s="43"/>
      <c r="O52" s="43"/>
      <c r="P52" s="43"/>
      <c r="Q52" s="43"/>
      <c r="R52" s="43"/>
      <c r="S52" s="43"/>
      <c r="T52" s="43"/>
      <c r="U52" s="43"/>
    </row>
    <row r="53" spans="1:21" ht="13.5" customHeight="1" thickTop="1" x14ac:dyDescent="0.2">
      <c r="A53" s="43"/>
      <c r="B53" s="273" t="s">
        <v>95</v>
      </c>
      <c r="C53" s="267" t="s">
        <v>96</v>
      </c>
      <c r="D53" s="268"/>
      <c r="E53" s="267" t="s">
        <v>97</v>
      </c>
      <c r="F53" s="276" t="s">
        <v>94</v>
      </c>
      <c r="G53" s="278" t="s">
        <v>125</v>
      </c>
      <c r="H53" s="269" t="s">
        <v>109</v>
      </c>
      <c r="I53" s="280" t="s">
        <v>134</v>
      </c>
      <c r="J53" s="282" t="s">
        <v>68</v>
      </c>
      <c r="K53" s="284" t="s">
        <v>69</v>
      </c>
      <c r="L53" s="43"/>
      <c r="M53" s="43"/>
      <c r="N53" s="43"/>
      <c r="O53" s="43"/>
      <c r="P53" s="43"/>
      <c r="Q53" s="43"/>
      <c r="R53" s="43"/>
      <c r="S53" s="43"/>
      <c r="T53" s="43"/>
      <c r="U53" s="43"/>
    </row>
    <row r="54" spans="1:21" ht="25.5" x14ac:dyDescent="0.2">
      <c r="A54" s="43"/>
      <c r="B54" s="274"/>
      <c r="C54" s="126" t="s">
        <v>108</v>
      </c>
      <c r="D54" s="126" t="s">
        <v>124</v>
      </c>
      <c r="E54" s="275"/>
      <c r="F54" s="277"/>
      <c r="G54" s="279"/>
      <c r="H54" s="266"/>
      <c r="I54" s="281"/>
      <c r="J54" s="283"/>
      <c r="K54" s="285"/>
      <c r="L54" s="43"/>
      <c r="M54" s="43"/>
      <c r="N54" s="43"/>
      <c r="O54" s="43"/>
      <c r="P54" s="43"/>
      <c r="Q54" s="43"/>
      <c r="R54" s="43"/>
      <c r="S54" s="43"/>
      <c r="T54" s="43"/>
      <c r="U54" s="43"/>
    </row>
    <row r="55" spans="1:21" x14ac:dyDescent="0.2">
      <c r="A55" s="43"/>
      <c r="B55" s="119">
        <f t="shared" ref="B55:B56" si="7">B56-$F$74</f>
        <v>105</v>
      </c>
      <c r="C55" s="120">
        <f t="shared" ref="C55:C56" si="8">B55*$F$75</f>
        <v>31.5</v>
      </c>
      <c r="D55" s="120">
        <f t="shared" ref="D55:D56" si="9">B55*$F$76</f>
        <v>24.5</v>
      </c>
      <c r="E55" s="122">
        <f t="shared" ref="E55:E56" si="10">B55*$F$77</f>
        <v>45.5</v>
      </c>
      <c r="F55" s="141">
        <f>IF(F9=N75,'(-3)'!C101,'(-3)'!C144)</f>
        <v>125</v>
      </c>
      <c r="G55" s="142">
        <f>IF(F9=N75,'(-3)'!D101,'(-3)'!D144)</f>
        <v>125</v>
      </c>
      <c r="H55" s="121">
        <f>IF(F9=N75,IF(F12=L75,'(-3)'!G101,'(-3)'!F101+'(-3)'!E101),IF(F9=N76,IF(F12=L75,'(-3)'!G144,'(-3)'!F144+'(-3)'!E144)))</f>
        <v>125</v>
      </c>
      <c r="I55" s="167">
        <f>IF(F9=N75,'(-3)'!C102,'(-3)'!C145)</f>
        <v>125</v>
      </c>
      <c r="J55" s="174">
        <f>IF(F9=N75,'(-3)'!C132,'(-3)'!C175)</f>
        <v>-195.34375</v>
      </c>
      <c r="K55" s="175">
        <f>IF(F9=N75,J55+'(-3)'!C102-$F21,J55+'(-3)'!C145-$F21)</f>
        <v>-220.34375</v>
      </c>
      <c r="L55" s="43"/>
      <c r="M55" s="65"/>
      <c r="N55" s="43"/>
      <c r="O55" s="43"/>
      <c r="P55" s="43"/>
      <c r="Q55" s="43"/>
      <c r="R55" s="43"/>
      <c r="S55" s="43"/>
      <c r="T55" s="43"/>
      <c r="U55" s="43"/>
    </row>
    <row r="56" spans="1:21" x14ac:dyDescent="0.2">
      <c r="A56" s="43"/>
      <c r="B56" s="119">
        <f t="shared" si="7"/>
        <v>120</v>
      </c>
      <c r="C56" s="120">
        <f t="shared" si="8"/>
        <v>36</v>
      </c>
      <c r="D56" s="120">
        <f t="shared" si="9"/>
        <v>28</v>
      </c>
      <c r="E56" s="122">
        <f t="shared" si="10"/>
        <v>52</v>
      </c>
      <c r="F56" s="141">
        <f>IF(F9=N75,'(-2)'!C101,'(-2)'!C144)</f>
        <v>125</v>
      </c>
      <c r="G56" s="142">
        <f>IF(F9=N75,'(-2)'!D101,'(-2)'!D144)</f>
        <v>125</v>
      </c>
      <c r="H56" s="121">
        <f>IF(F9=N75,IF(F12=L75,'(-2)'!G101,'(-2)'!F101+'(-2)'!E101),IF(F9=N76,IF(F12=L75,'(-2)'!G144,'(-2)'!F144+'(-2)'!E144)))</f>
        <v>125</v>
      </c>
      <c r="I56" s="167">
        <f>IF(F9=N75,'(-2)'!C102,'(-2)'!C145)</f>
        <v>125</v>
      </c>
      <c r="J56" s="174">
        <f>IF(F9=N75,'(-2)'!C132,'(-2)'!C175)</f>
        <v>-142</v>
      </c>
      <c r="K56" s="175">
        <f>IF(F9=N75,J56+'(-2)'!C102-$F21,J56+'(-2)'!C145-$F21)</f>
        <v>-167</v>
      </c>
      <c r="L56" s="43"/>
      <c r="M56" s="43"/>
      <c r="N56" s="43"/>
      <c r="O56" s="43"/>
      <c r="P56" s="43"/>
      <c r="Q56" s="43"/>
      <c r="R56" s="43"/>
      <c r="S56" s="43"/>
      <c r="T56" s="43"/>
      <c r="U56" s="43"/>
    </row>
    <row r="57" spans="1:21" x14ac:dyDescent="0.2">
      <c r="A57" s="43"/>
      <c r="B57" s="119">
        <f>B58-$F$74</f>
        <v>135</v>
      </c>
      <c r="C57" s="120">
        <f>B57*$F$75</f>
        <v>40.5</v>
      </c>
      <c r="D57" s="120">
        <f>B57*$F$76</f>
        <v>31.5</v>
      </c>
      <c r="E57" s="122">
        <f>B57*$F$77</f>
        <v>58.5</v>
      </c>
      <c r="F57" s="141">
        <f>IF(F9=N75,'(-1)'!C101,'(-1)'!C144)</f>
        <v>135.9375</v>
      </c>
      <c r="G57" s="142">
        <f>IF(F9=N75,'(-1)'!D101,'(-1)'!D144)</f>
        <v>136.75</v>
      </c>
      <c r="H57" s="121">
        <f>IF(F9=N75,IF(F12=L75,'(-1)'!G101,'(-1)'!F101+'(-1)'!E101),IF(F9=N76,IF(F12=L75,'(-1)'!G144,'(-1)'!F144+'(-1)'!E144)))</f>
        <v>125</v>
      </c>
      <c r="I57" s="167">
        <f>IF(F9=N75,'(-1)'!C102,'(-1)'!C145)</f>
        <v>133.40625</v>
      </c>
      <c r="J57" s="174">
        <f>IF(F9=N75,'(-1)'!C132,'(-1)'!C175)</f>
        <v>-97.0625</v>
      </c>
      <c r="K57" s="175">
        <f>IF(F9=N75,J57+'(-1)'!C102-$F21,J57+'(-1)'!C145-$F21)</f>
        <v>-113.65625</v>
      </c>
      <c r="L57" s="43"/>
      <c r="M57" s="43"/>
      <c r="N57" s="43"/>
      <c r="O57" s="43"/>
      <c r="P57" s="43"/>
      <c r="Q57" s="43"/>
      <c r="R57" s="43"/>
      <c r="S57" s="43"/>
      <c r="T57" s="43"/>
      <c r="U57" s="43"/>
    </row>
    <row r="58" spans="1:21" x14ac:dyDescent="0.2">
      <c r="A58" s="43"/>
      <c r="B58" s="111">
        <f>F4</f>
        <v>150</v>
      </c>
      <c r="C58" s="112">
        <f>G4</f>
        <v>45</v>
      </c>
      <c r="D58" s="113">
        <f>I4</f>
        <v>35</v>
      </c>
      <c r="E58" s="123">
        <f>H4</f>
        <v>65</v>
      </c>
      <c r="F58" s="116">
        <f>F19</f>
        <v>155.625</v>
      </c>
      <c r="G58" s="117">
        <f>G19</f>
        <v>152.5</v>
      </c>
      <c r="H58" s="118">
        <f>IF(F12=L75,J19,H19+I19)</f>
        <v>139</v>
      </c>
      <c r="I58" s="166">
        <f>IF(F9=N75,Avg!C13,Avg!C56)</f>
        <v>150.6875</v>
      </c>
      <c r="J58" s="170">
        <f>IF(F9=N75,Avg!C43,Avg!C86)</f>
        <v>-61</v>
      </c>
      <c r="K58" s="171">
        <f>IF(F9=N75,J58+Avg!C$13-F$21,J58+Avg!C$56-F$21)</f>
        <v>-60.3125</v>
      </c>
      <c r="L58" s="43"/>
      <c r="M58" s="43"/>
      <c r="N58" s="43"/>
      <c r="O58" s="43"/>
      <c r="P58" s="43"/>
      <c r="Q58" s="43"/>
      <c r="R58" s="43"/>
      <c r="S58" s="43"/>
      <c r="T58" s="43"/>
      <c r="U58" s="43"/>
    </row>
    <row r="59" spans="1:21" x14ac:dyDescent="0.2">
      <c r="A59" s="43"/>
      <c r="B59" s="119">
        <f>B58+$F$74</f>
        <v>165</v>
      </c>
      <c r="C59" s="120">
        <f>B59*$F$75</f>
        <v>49.5</v>
      </c>
      <c r="D59" s="120">
        <f>B59*$F$76</f>
        <v>38.5</v>
      </c>
      <c r="E59" s="122">
        <f>B59*$F$77</f>
        <v>71.5</v>
      </c>
      <c r="F59" s="141">
        <f>IF(F9=N75,'(+1)'!C101,'(+1)'!C144)</f>
        <v>175.3125</v>
      </c>
      <c r="G59" s="142">
        <f>IF(F9=N75,'(+1)'!D101,'(+1)'!D144)</f>
        <v>168.25</v>
      </c>
      <c r="H59" s="121">
        <f>IF(F9=N75,IF(F12=L75,'(+1)'!G101,'(+1)'!F101+'(+1)'!E101),IF(F9=N76,IF(F12=L75,'(+1)'!G144,'(+1)'!F144+'(+1)'!E144)))</f>
        <v>160.52500000000001</v>
      </c>
      <c r="I59" s="167">
        <f>IF(F9=N75,'(+1)'!C102,'(+1)'!C145)</f>
        <v>169.85</v>
      </c>
      <c r="J59" s="174">
        <f>IF(F9=N75,'(+1)'!C132,'(+1)'!C175)</f>
        <v>-26.818749999999994</v>
      </c>
      <c r="K59" s="175">
        <f>IF(F9=N75,J59+'(+1)'!C102-$F21,J59+'(+1)'!C145-$F21)</f>
        <v>-6.96875</v>
      </c>
      <c r="L59" s="43"/>
      <c r="M59" s="43"/>
      <c r="N59" s="43"/>
      <c r="O59" s="43"/>
      <c r="P59" s="43"/>
      <c r="Q59" s="43"/>
      <c r="R59" s="43"/>
      <c r="S59" s="43"/>
      <c r="T59" s="43"/>
      <c r="U59" s="43"/>
    </row>
    <row r="60" spans="1:21" x14ac:dyDescent="0.2">
      <c r="A60" s="43"/>
      <c r="B60" s="119">
        <f t="shared" ref="B60:B61" si="11">B59+$F$74</f>
        <v>180</v>
      </c>
      <c r="C60" s="120">
        <f t="shared" ref="C60:C61" si="12">B60*$F$75</f>
        <v>54</v>
      </c>
      <c r="D60" s="120">
        <f t="shared" ref="D60:D61" si="13">B60*$F$76</f>
        <v>42</v>
      </c>
      <c r="E60" s="122">
        <f t="shared" ref="E60:E61" si="14">B60*$F$77</f>
        <v>78</v>
      </c>
      <c r="F60" s="141">
        <f>IF(F9=N75,'(+2)'!C101,'(+2)'!C144)</f>
        <v>195</v>
      </c>
      <c r="G60" s="142">
        <f>IF(F9=N75,'(+2)'!D101,'(+2)'!D144)</f>
        <v>184</v>
      </c>
      <c r="H60" s="121">
        <f>IF(F9=N75,IF(F12=L75,'(+2)'!G101,'(+2)'!F101+'(+2)'!E101),IF(F9=N76,IF(F12=L75,'(+2)'!G144,'(+2)'!F144+'(+2)'!E144)))</f>
        <v>182.05</v>
      </c>
      <c r="I60" s="167">
        <f>IF(F9=N75,'(+2)'!C102,'(+2)'!C145)</f>
        <v>189.01249999999999</v>
      </c>
      <c r="J60" s="174">
        <f>IF(F9=N75,'(+2)'!C132,'(+2)'!C175)</f>
        <v>7.3625000000000114</v>
      </c>
      <c r="K60" s="175">
        <f>IF(F9=N75,J60+'(+2)'!C102-$F21,J60+'(+2)'!C145-$F21)</f>
        <v>46.375</v>
      </c>
      <c r="L60" s="43"/>
      <c r="M60" s="43"/>
      <c r="N60" s="43"/>
      <c r="O60" s="43"/>
      <c r="P60" s="43"/>
      <c r="Q60" s="43"/>
      <c r="R60" s="43"/>
      <c r="S60" s="43"/>
      <c r="T60" s="43"/>
      <c r="U60" s="43"/>
    </row>
    <row r="61" spans="1:21" ht="13.5" thickBot="1" x14ac:dyDescent="0.25">
      <c r="A61" s="43"/>
      <c r="B61" s="119">
        <f t="shared" si="11"/>
        <v>195</v>
      </c>
      <c r="C61" s="120">
        <f t="shared" si="12"/>
        <v>58.5</v>
      </c>
      <c r="D61" s="120">
        <f t="shared" si="13"/>
        <v>45.5</v>
      </c>
      <c r="E61" s="122">
        <f t="shared" si="14"/>
        <v>84.5</v>
      </c>
      <c r="F61" s="143">
        <f>IF(F9=N75,'(+3)'!C101,'(+3)'!C144)</f>
        <v>214.6875</v>
      </c>
      <c r="G61" s="144">
        <f>IF(F9=N75,'(+3)'!D101,'(+3)'!D144)</f>
        <v>199.75</v>
      </c>
      <c r="H61" s="145">
        <f>IF(F9=N75,IF(F12=L75,'(+3)'!G101,'(+3)'!F101+'(+3)'!E101),IF(F9=N76,IF(F12=L75,'(+3)'!G144,'(+3)'!F144+'(+3)'!E144)))</f>
        <v>203.57499999999999</v>
      </c>
      <c r="I61" s="168">
        <f>IF(F9=N75,'(+3)'!C102,'(+3)'!C145)</f>
        <v>208.17500000000001</v>
      </c>
      <c r="J61" s="176">
        <f>IF(F9=N75,'(+3)'!C132,'(+3)'!C175)</f>
        <v>41.543749999999989</v>
      </c>
      <c r="K61" s="177">
        <f>IF(F9=N75,J61+'(+3)'!C102-$F21,J61+'(+3)'!C145-$F21)</f>
        <v>99.71875</v>
      </c>
      <c r="L61" s="43"/>
      <c r="M61" s="43"/>
      <c r="N61" s="43"/>
      <c r="O61" s="43"/>
      <c r="P61" s="43"/>
      <c r="Q61" s="43"/>
      <c r="R61" s="43"/>
      <c r="S61" s="43"/>
      <c r="T61" s="43"/>
      <c r="U61" s="43"/>
    </row>
    <row r="62" spans="1:21" ht="41.25" customHeight="1" thickTop="1" thickBot="1" x14ac:dyDescent="0.25">
      <c r="A62" s="43"/>
      <c r="B62" s="198" t="str">
        <f>IF(F9=N75,D97&amp;D93,D97&amp;D94)</f>
        <v>Note: Table is calculated assuming a price of $3.75, $8.75, and $4.75 dollars per bushel for corn, soybeans, and wheat, respectively. $125 Base Land Rent plus 35% Corn Revenue over $475, 40% Soybean Revenue over $325, and 35% Double Cropped Wheat and Soybean Revenue over $575.</v>
      </c>
      <c r="C62" s="199"/>
      <c r="D62" s="199"/>
      <c r="E62" s="199"/>
      <c r="F62" s="199"/>
      <c r="G62" s="199"/>
      <c r="H62" s="199"/>
      <c r="I62" s="199"/>
      <c r="J62" s="199"/>
      <c r="K62" s="200"/>
      <c r="L62" s="43"/>
      <c r="M62" s="43"/>
      <c r="N62" s="43"/>
      <c r="O62" s="43"/>
      <c r="P62" s="43"/>
      <c r="Q62" s="43"/>
      <c r="R62" s="43"/>
      <c r="S62" s="43"/>
      <c r="T62" s="43"/>
      <c r="U62" s="43"/>
    </row>
    <row r="63" spans="1:21" ht="13.5" thickTop="1" x14ac:dyDescent="0.2">
      <c r="A63" s="43"/>
      <c r="B63" s="66"/>
      <c r="C63" s="66"/>
      <c r="D63" s="66"/>
      <c r="E63" s="66"/>
      <c r="F63" s="66"/>
      <c r="G63" s="66"/>
      <c r="H63" s="66"/>
      <c r="I63" s="66"/>
      <c r="J63" s="66"/>
      <c r="K63" s="66"/>
      <c r="L63" s="43"/>
      <c r="M63" s="43"/>
      <c r="N63" s="43"/>
      <c r="O63" s="43"/>
      <c r="P63" s="43"/>
      <c r="Q63" s="43"/>
      <c r="R63" s="43"/>
      <c r="S63" s="43"/>
      <c r="T63" s="43"/>
      <c r="U63" s="43"/>
    </row>
    <row r="64" spans="1:21" ht="13.5" thickBot="1" x14ac:dyDescent="0.25">
      <c r="A64" s="43"/>
      <c r="B64" s="66"/>
      <c r="C64" s="66"/>
      <c r="D64" s="66"/>
      <c r="E64" s="66"/>
      <c r="F64" s="66"/>
      <c r="G64" s="66"/>
      <c r="H64" s="66"/>
      <c r="I64" s="66"/>
      <c r="J64" s="66"/>
      <c r="K64" s="66"/>
      <c r="L64" s="43"/>
      <c r="M64" s="43"/>
      <c r="N64" s="43"/>
      <c r="O64" s="43"/>
      <c r="P64" s="43"/>
      <c r="Q64" s="43"/>
      <c r="R64" s="43"/>
      <c r="S64" s="43"/>
      <c r="T64" s="43"/>
      <c r="U64" s="43"/>
    </row>
    <row r="65" spans="1:24" ht="17.25" thickTop="1" thickBot="1" x14ac:dyDescent="0.25">
      <c r="A65" s="43"/>
      <c r="B65" s="214" t="s">
        <v>126</v>
      </c>
      <c r="C65" s="215"/>
      <c r="D65" s="215"/>
      <c r="E65" s="215"/>
      <c r="F65" s="215"/>
      <c r="G65" s="215"/>
      <c r="H65" s="215"/>
      <c r="I65" s="215"/>
      <c r="J65" s="216"/>
      <c r="K65" s="66"/>
      <c r="L65" s="43"/>
      <c r="M65" s="43"/>
      <c r="N65" s="43"/>
      <c r="O65" s="43"/>
      <c r="P65" s="43"/>
      <c r="Q65" s="43"/>
      <c r="R65" s="43"/>
      <c r="S65" s="43"/>
      <c r="T65" s="43"/>
      <c r="U65" s="43"/>
    </row>
    <row r="66" spans="1:24" ht="13.5" thickTop="1" x14ac:dyDescent="0.2">
      <c r="A66" s="43"/>
      <c r="B66" s="217" t="s">
        <v>35</v>
      </c>
      <c r="C66" s="218"/>
      <c r="D66" s="218"/>
      <c r="E66" s="218"/>
      <c r="F66" s="161" t="s">
        <v>22</v>
      </c>
      <c r="G66" s="161" t="s">
        <v>23</v>
      </c>
      <c r="H66" s="161" t="s">
        <v>73</v>
      </c>
      <c r="I66" s="161" t="s">
        <v>74</v>
      </c>
      <c r="J66" s="162" t="s">
        <v>118</v>
      </c>
      <c r="K66" s="66"/>
      <c r="L66" s="43"/>
      <c r="M66" s="43"/>
      <c r="N66" s="43"/>
      <c r="O66" s="43"/>
      <c r="P66" s="43"/>
      <c r="Q66" s="43"/>
      <c r="R66" s="43"/>
      <c r="S66" s="43"/>
      <c r="T66" s="43"/>
      <c r="U66" s="43"/>
    </row>
    <row r="67" spans="1:24" x14ac:dyDescent="0.2">
      <c r="A67" s="43"/>
      <c r="B67" s="204" t="s">
        <v>87</v>
      </c>
      <c r="C67" s="205"/>
      <c r="D67" s="205"/>
      <c r="E67" s="205"/>
      <c r="F67" s="188">
        <v>175</v>
      </c>
      <c r="G67" s="188">
        <v>55</v>
      </c>
      <c r="H67" s="188">
        <v>75</v>
      </c>
      <c r="I67" s="188">
        <v>48</v>
      </c>
      <c r="J67" s="55">
        <f>H67+I67</f>
        <v>123</v>
      </c>
      <c r="K67" s="66"/>
      <c r="L67" s="43"/>
      <c r="M67" s="43"/>
      <c r="N67" s="43"/>
      <c r="O67" s="43"/>
      <c r="P67" s="43"/>
      <c r="Q67" s="43"/>
      <c r="R67" s="43"/>
      <c r="S67" s="43"/>
      <c r="T67" s="43"/>
      <c r="U67" s="43"/>
    </row>
    <row r="68" spans="1:24" x14ac:dyDescent="0.2">
      <c r="A68" s="43"/>
      <c r="B68" s="204" t="s">
        <v>88</v>
      </c>
      <c r="C68" s="205"/>
      <c r="D68" s="205"/>
      <c r="E68" s="205"/>
      <c r="F68" s="184">
        <v>4</v>
      </c>
      <c r="G68" s="184">
        <v>9</v>
      </c>
      <c r="H68" s="184">
        <v>4.75</v>
      </c>
      <c r="I68" s="102">
        <f>G68</f>
        <v>9</v>
      </c>
      <c r="J68" s="48">
        <f>H68*(H67/J67) + I68*(I67/J67)</f>
        <v>6.4085365853658534</v>
      </c>
      <c r="K68" s="66"/>
      <c r="L68" s="43"/>
      <c r="M68" s="43"/>
      <c r="N68" s="43"/>
      <c r="O68" s="43"/>
      <c r="P68" s="43"/>
      <c r="Q68" s="43"/>
      <c r="R68" s="43"/>
      <c r="S68" s="43"/>
      <c r="T68" s="43"/>
      <c r="U68" s="43"/>
    </row>
    <row r="69" spans="1:24" x14ac:dyDescent="0.2">
      <c r="A69" s="43"/>
      <c r="B69" s="206" t="str">
        <f>IF(F9=N75,"Flex Rent (Base+Bonus)","Flex Rent (Revenue Percentage)")</f>
        <v>Flex Rent (Base+Bonus)</v>
      </c>
      <c r="C69" s="207"/>
      <c r="D69" s="207"/>
      <c r="E69" s="207"/>
      <c r="F69" s="132">
        <f>IF($F$9=$N$75,'Add Scenario'!C12,'Add Scenario'!C55)</f>
        <v>203.75</v>
      </c>
      <c r="G69" s="132">
        <f>IF($F$9=$N$75,'Add Scenario'!D12,'Add Scenario'!D55)</f>
        <v>193</v>
      </c>
      <c r="H69" s="132">
        <f>IF($F$9=$N$75,'Add Scenario'!E12,'Add Scenario'!E55)</f>
        <v>73.4375</v>
      </c>
      <c r="I69" s="132">
        <f>IF($F$9=$N$75,'Add Scenario'!F12,'Add Scenario'!F55)</f>
        <v>126.19999999999999</v>
      </c>
      <c r="J69" s="133">
        <f>IF($F$9=$N$75,'Add Scenario'!G12,'Add Scenario'!G55)</f>
        <v>199.63749999999999</v>
      </c>
      <c r="K69" s="66"/>
      <c r="L69" s="43"/>
      <c r="M69" s="43"/>
      <c r="N69" s="43"/>
      <c r="O69" s="43"/>
      <c r="P69" s="43"/>
      <c r="Q69" s="43"/>
      <c r="R69" s="43"/>
      <c r="S69" s="43"/>
      <c r="T69" s="43"/>
      <c r="U69" s="43"/>
    </row>
    <row r="70" spans="1:24" ht="13.5" thickBot="1" x14ac:dyDescent="0.25">
      <c r="A70" s="43"/>
      <c r="B70" s="219" t="str">
        <f>IF(F9=N75,"Flex Rent (Base+Bonus) Avg. All Crops","Flex Rent (Revenue Percentage) Avg. All Crops")</f>
        <v>Flex Rent (Base+Bonus) Avg. All Crops</v>
      </c>
      <c r="C70" s="220"/>
      <c r="D70" s="220"/>
      <c r="E70" s="221"/>
      <c r="F70" s="208">
        <f>IF($F$12=$L$75,F69*F8+G69*G8+J69*J8,F69*F8+G69*G8+H69*H8+I69*H8)</f>
        <v>200.03437500000001</v>
      </c>
      <c r="G70" s="209"/>
      <c r="H70" s="209"/>
      <c r="I70" s="209"/>
      <c r="J70" s="210"/>
      <c r="K70" s="66"/>
      <c r="L70" s="43"/>
      <c r="M70" s="43"/>
      <c r="N70" s="43"/>
      <c r="O70" s="43"/>
      <c r="P70" s="43"/>
      <c r="Q70" s="43"/>
      <c r="R70" s="43"/>
      <c r="S70" s="43"/>
      <c r="T70" s="43"/>
      <c r="U70" s="43"/>
    </row>
    <row r="71" spans="1:24" ht="13.5" thickTop="1" x14ac:dyDescent="0.2">
      <c r="A71" s="43"/>
      <c r="B71" s="66"/>
      <c r="C71" s="66"/>
      <c r="D71" s="66"/>
      <c r="E71" s="66"/>
      <c r="F71" s="66"/>
      <c r="G71" s="66"/>
      <c r="H71" s="66"/>
      <c r="I71" s="66"/>
      <c r="J71" s="66"/>
      <c r="K71" s="66"/>
      <c r="L71" s="43"/>
      <c r="M71" s="43"/>
      <c r="N71" s="43"/>
      <c r="O71" s="43"/>
      <c r="P71" s="43"/>
      <c r="Q71" s="43"/>
      <c r="R71" s="43"/>
      <c r="S71" s="43"/>
      <c r="T71" s="43"/>
      <c r="U71" s="43"/>
    </row>
    <row r="72" spans="1:24" x14ac:dyDescent="0.2">
      <c r="A72" s="43"/>
      <c r="B72" s="66"/>
      <c r="C72" s="66"/>
      <c r="D72" s="66"/>
      <c r="E72" s="66"/>
      <c r="F72" s="66"/>
      <c r="G72" s="66"/>
      <c r="H72" s="66"/>
      <c r="I72" s="66"/>
      <c r="J72" s="66"/>
      <c r="K72" s="66"/>
      <c r="L72" s="43"/>
      <c r="M72" s="43"/>
      <c r="N72" s="43"/>
      <c r="O72" s="43"/>
      <c r="P72" s="43"/>
      <c r="Q72" s="43"/>
      <c r="R72" s="43"/>
      <c r="S72" s="43"/>
      <c r="T72" s="43"/>
      <c r="U72" s="43"/>
    </row>
    <row r="73" spans="1:24" x14ac:dyDescent="0.2">
      <c r="A73" s="43"/>
      <c r="B73" s="66"/>
      <c r="C73" s="66"/>
      <c r="D73" s="66"/>
      <c r="E73" s="66"/>
      <c r="F73" s="66"/>
      <c r="G73" s="66"/>
      <c r="H73" s="66"/>
      <c r="I73" s="66"/>
      <c r="J73" s="66"/>
      <c r="K73" s="66"/>
      <c r="L73" s="43"/>
      <c r="M73" s="43"/>
      <c r="N73" s="43"/>
      <c r="O73" s="43"/>
      <c r="P73" s="43"/>
      <c r="Q73" s="43"/>
      <c r="R73" s="43"/>
      <c r="S73" s="43"/>
      <c r="T73" s="43"/>
      <c r="U73" s="43"/>
    </row>
    <row r="74" spans="1:24" hidden="1" x14ac:dyDescent="0.2">
      <c r="A74" s="43"/>
      <c r="B74" s="66"/>
      <c r="C74" s="86">
        <v>0.25</v>
      </c>
      <c r="D74" s="83" t="s">
        <v>100</v>
      </c>
      <c r="E74" s="66"/>
      <c r="F74" s="88">
        <v>15</v>
      </c>
      <c r="G74" s="83" t="s">
        <v>120</v>
      </c>
      <c r="H74" s="66"/>
      <c r="I74" s="66"/>
      <c r="J74" s="66"/>
      <c r="K74" s="66"/>
      <c r="L74" s="43"/>
      <c r="M74" s="43"/>
      <c r="N74" s="43"/>
      <c r="O74" s="43"/>
      <c r="P74" s="43"/>
      <c r="Q74" s="43"/>
      <c r="R74" s="43"/>
      <c r="S74" s="43"/>
      <c r="T74" s="43"/>
      <c r="U74" s="43"/>
    </row>
    <row r="75" spans="1:24" ht="13.15" hidden="1" customHeight="1" x14ac:dyDescent="0.2">
      <c r="A75" s="43"/>
      <c r="B75" s="43"/>
      <c r="C75" s="159">
        <f>C45/B45</f>
        <v>2.3333333333333335</v>
      </c>
      <c r="D75" s="65" t="s">
        <v>98</v>
      </c>
      <c r="E75" s="43"/>
      <c r="F75" s="134">
        <f>C58/B58</f>
        <v>0.3</v>
      </c>
      <c r="G75" s="65" t="s">
        <v>121</v>
      </c>
      <c r="H75" s="43"/>
      <c r="I75" s="43"/>
      <c r="J75" s="41" t="s">
        <v>33</v>
      </c>
      <c r="K75" s="42"/>
      <c r="L75" s="41" t="s">
        <v>77</v>
      </c>
      <c r="M75" s="42"/>
      <c r="N75" s="65" t="s">
        <v>90</v>
      </c>
      <c r="O75" s="43"/>
      <c r="P75" s="43"/>
      <c r="Q75" s="43"/>
      <c r="R75" s="43"/>
      <c r="S75" s="43"/>
      <c r="T75" s="43"/>
      <c r="U75" s="43"/>
      <c r="V75" s="43"/>
      <c r="W75" s="43"/>
      <c r="X75" s="43"/>
    </row>
    <row r="76" spans="1:24" ht="13.9" hidden="1" customHeight="1" x14ac:dyDescent="0.2">
      <c r="A76" s="43"/>
      <c r="B76" s="43"/>
      <c r="C76" s="160">
        <f>E45/B45</f>
        <v>1.2666666666666666</v>
      </c>
      <c r="D76" s="65" t="s">
        <v>99</v>
      </c>
      <c r="E76" s="43"/>
      <c r="F76" s="134">
        <f>D58/B58</f>
        <v>0.23333333333333334</v>
      </c>
      <c r="G76" s="65" t="s">
        <v>122</v>
      </c>
      <c r="H76" s="43"/>
      <c r="I76" s="43"/>
      <c r="J76" s="41" t="s">
        <v>34</v>
      </c>
      <c r="K76" s="42"/>
      <c r="L76" s="41" t="s">
        <v>78</v>
      </c>
      <c r="M76" s="42"/>
      <c r="N76" s="65" t="s">
        <v>117</v>
      </c>
      <c r="O76" s="43"/>
      <c r="P76" s="43"/>
      <c r="Q76" s="43"/>
      <c r="R76" s="43"/>
      <c r="S76" s="43"/>
      <c r="T76" s="43"/>
      <c r="U76" s="43"/>
      <c r="V76" s="43"/>
      <c r="W76" s="43"/>
      <c r="X76" s="43"/>
    </row>
    <row r="77" spans="1:24" ht="13.9" hidden="1" customHeight="1" x14ac:dyDescent="0.2">
      <c r="A77" s="43"/>
      <c r="B77" s="43"/>
      <c r="C77" s="87"/>
      <c r="D77" s="65"/>
      <c r="E77" s="43"/>
      <c r="F77" s="134">
        <f>E58/B58</f>
        <v>0.43333333333333335</v>
      </c>
      <c r="G77" s="65" t="s">
        <v>123</v>
      </c>
      <c r="H77" s="43"/>
      <c r="I77" s="43"/>
      <c r="J77" s="41"/>
      <c r="K77" s="42"/>
      <c r="L77" s="41"/>
      <c r="M77" s="42"/>
      <c r="N77" s="65"/>
      <c r="O77" s="43"/>
      <c r="P77" s="43"/>
      <c r="Q77" s="43"/>
      <c r="R77" s="43"/>
      <c r="S77" s="43"/>
      <c r="T77" s="43"/>
      <c r="U77" s="43"/>
      <c r="V77" s="43"/>
      <c r="W77" s="43"/>
      <c r="X77" s="43"/>
    </row>
    <row r="78" spans="1:24" hidden="1" x14ac:dyDescent="0.2">
      <c r="A78" s="43"/>
      <c r="B78" s="43"/>
      <c r="C78" s="43"/>
      <c r="D78" s="43"/>
      <c r="E78" s="43"/>
      <c r="F78" s="43"/>
      <c r="G78" s="43"/>
      <c r="H78" s="43"/>
      <c r="I78" s="43"/>
      <c r="J78" s="43"/>
      <c r="K78" s="43"/>
      <c r="L78" s="43"/>
      <c r="M78" s="43"/>
      <c r="N78" s="43"/>
      <c r="O78" s="43"/>
      <c r="P78" s="43"/>
      <c r="Q78" s="43"/>
      <c r="R78" s="43"/>
      <c r="S78" s="43"/>
      <c r="T78" s="43"/>
      <c r="U78" s="43"/>
    </row>
    <row r="79" spans="1:24" hidden="1" x14ac:dyDescent="0.2">
      <c r="A79" s="43"/>
      <c r="B79" s="211" t="s">
        <v>52</v>
      </c>
      <c r="C79" s="212"/>
      <c r="D79" s="213"/>
      <c r="E79" s="56"/>
      <c r="F79" s="56"/>
      <c r="G79" s="56"/>
      <c r="H79" s="56"/>
      <c r="I79" s="57"/>
      <c r="J79" s="43"/>
      <c r="K79" s="43"/>
      <c r="L79" s="52"/>
      <c r="M79" s="52"/>
      <c r="N79" s="52"/>
      <c r="O79" s="52"/>
      <c r="P79" s="52"/>
      <c r="Q79" s="43"/>
      <c r="R79" s="43"/>
      <c r="S79" s="43"/>
      <c r="T79" s="43"/>
      <c r="U79" s="43"/>
    </row>
    <row r="80" spans="1:24" hidden="1" x14ac:dyDescent="0.2">
      <c r="A80" s="43"/>
      <c r="B80" s="201" t="s">
        <v>107</v>
      </c>
      <c r="C80" s="202"/>
      <c r="D80" s="203"/>
      <c r="E80" s="56"/>
      <c r="F80" s="56"/>
      <c r="G80" s="56"/>
      <c r="H80" s="56"/>
      <c r="I80" s="57"/>
      <c r="J80" s="43"/>
      <c r="K80" s="43"/>
      <c r="L80" s="52"/>
      <c r="M80" s="52"/>
      <c r="N80" s="52"/>
      <c r="O80" s="52"/>
      <c r="P80" s="52"/>
      <c r="Q80" s="43"/>
      <c r="R80" s="43"/>
      <c r="S80" s="43"/>
      <c r="T80" s="43"/>
      <c r="U80" s="43"/>
    </row>
    <row r="81" spans="1:22" hidden="1" x14ac:dyDescent="0.2">
      <c r="A81" s="43"/>
      <c r="B81" s="43"/>
      <c r="C81" s="43"/>
      <c r="D81" s="43"/>
      <c r="E81" s="43"/>
      <c r="F81" s="43"/>
      <c r="G81" s="43"/>
      <c r="H81" s="43"/>
      <c r="I81" s="43"/>
      <c r="J81" s="43"/>
      <c r="K81" s="43"/>
      <c r="L81" s="43"/>
      <c r="M81" s="43"/>
      <c r="N81" s="43"/>
      <c r="O81" s="43"/>
      <c r="P81" s="43"/>
      <c r="Q81" s="43"/>
      <c r="R81" s="43"/>
      <c r="S81" s="43"/>
      <c r="T81" s="43"/>
      <c r="U81" s="43"/>
    </row>
    <row r="82" spans="1:22" hidden="1" x14ac:dyDescent="0.2">
      <c r="A82" s="43"/>
      <c r="B82" s="201" t="s">
        <v>79</v>
      </c>
      <c r="C82" s="202"/>
      <c r="D82" s="202"/>
      <c r="E82" s="203"/>
      <c r="F82" s="124"/>
      <c r="G82" s="124"/>
      <c r="H82" s="151"/>
      <c r="I82" s="152"/>
      <c r="J82" s="43"/>
      <c r="K82" s="43"/>
      <c r="L82" s="43"/>
      <c r="M82" s="43"/>
      <c r="N82" s="43"/>
      <c r="O82" s="43"/>
      <c r="P82" s="43"/>
      <c r="Q82" s="43"/>
      <c r="R82" s="43"/>
      <c r="S82" s="43"/>
      <c r="T82" s="43"/>
      <c r="U82" s="43"/>
      <c r="V82" s="43"/>
    </row>
    <row r="83" spans="1:22" hidden="1" x14ac:dyDescent="0.2">
      <c r="A83" s="43"/>
      <c r="B83" s="228" t="s">
        <v>81</v>
      </c>
      <c r="C83" s="229"/>
      <c r="D83" s="230"/>
      <c r="E83" s="153">
        <v>0.8</v>
      </c>
      <c r="F83" s="154"/>
      <c r="G83" s="154"/>
      <c r="H83" s="58"/>
      <c r="I83" s="59"/>
      <c r="J83" s="43"/>
      <c r="K83" s="43"/>
      <c r="L83" s="43"/>
      <c r="M83" s="43"/>
      <c r="N83" s="43"/>
      <c r="O83" s="43"/>
      <c r="P83" s="43"/>
      <c r="Q83" s="43"/>
      <c r="R83" s="43"/>
      <c r="S83" s="43"/>
      <c r="T83" s="43"/>
      <c r="U83" s="43"/>
    </row>
    <row r="84" spans="1:22" hidden="1" x14ac:dyDescent="0.2">
      <c r="A84" s="43"/>
      <c r="B84" s="228" t="s">
        <v>80</v>
      </c>
      <c r="C84" s="229"/>
      <c r="D84" s="230"/>
      <c r="E84" s="153">
        <v>0.5</v>
      </c>
      <c r="F84" s="153">
        <v>0.4</v>
      </c>
      <c r="G84" s="153">
        <f>1-E84-F84</f>
        <v>9.9999999999999978E-2</v>
      </c>
      <c r="H84" s="61"/>
      <c r="I84" s="62"/>
      <c r="J84" s="43"/>
      <c r="K84" s="43"/>
      <c r="L84" s="43"/>
      <c r="M84" s="43"/>
      <c r="N84" s="43"/>
      <c r="O84" s="43"/>
      <c r="P84" s="43"/>
      <c r="Q84" s="43"/>
      <c r="R84" s="43"/>
      <c r="S84" s="43"/>
      <c r="T84" s="43"/>
      <c r="U84" s="43"/>
    </row>
    <row r="85" spans="1:22" hidden="1" x14ac:dyDescent="0.2">
      <c r="A85" s="43"/>
      <c r="B85" s="228" t="s">
        <v>82</v>
      </c>
      <c r="C85" s="229"/>
      <c r="D85" s="230"/>
      <c r="E85" s="155">
        <v>3.7</v>
      </c>
      <c r="F85" s="155">
        <v>8.4</v>
      </c>
      <c r="G85" s="155">
        <v>5.5</v>
      </c>
      <c r="H85" s="61"/>
      <c r="I85" s="62"/>
      <c r="J85" s="43"/>
      <c r="K85" s="43"/>
      <c r="L85" s="43"/>
      <c r="M85" s="43"/>
      <c r="N85" s="43"/>
      <c r="O85" s="43"/>
      <c r="P85" s="43"/>
      <c r="Q85" s="43"/>
      <c r="R85" s="43"/>
      <c r="S85" s="43"/>
      <c r="T85" s="43"/>
      <c r="U85" s="43"/>
    </row>
    <row r="86" spans="1:22" hidden="1" x14ac:dyDescent="0.2">
      <c r="A86" s="43"/>
      <c r="B86" s="228" t="s">
        <v>83</v>
      </c>
      <c r="C86" s="229"/>
      <c r="D86" s="230"/>
      <c r="E86" s="156">
        <v>155</v>
      </c>
      <c r="F86" s="156">
        <v>48</v>
      </c>
      <c r="G86" s="156">
        <v>60</v>
      </c>
      <c r="H86" s="157"/>
      <c r="I86" s="158"/>
      <c r="J86" s="43"/>
      <c r="K86" s="43"/>
      <c r="L86" s="43"/>
      <c r="M86" s="43"/>
      <c r="N86" s="43"/>
      <c r="O86" s="43"/>
      <c r="P86" s="43"/>
      <c r="Q86" s="43"/>
      <c r="R86" s="43"/>
      <c r="S86" s="43"/>
      <c r="T86" s="43"/>
      <c r="U86" s="43"/>
    </row>
    <row r="87" spans="1:22" hidden="1" x14ac:dyDescent="0.2">
      <c r="A87" s="43"/>
      <c r="B87" s="228" t="s">
        <v>84</v>
      </c>
      <c r="C87" s="229"/>
      <c r="D87" s="230"/>
      <c r="E87" s="56">
        <f>IF(F31&lt;E85,(E85-F31)*E86*0.85,0)</f>
        <v>0</v>
      </c>
      <c r="F87" s="56">
        <f>IF(G31&lt;F85,(F85-G31)*F86*0.85,0)</f>
        <v>0</v>
      </c>
      <c r="G87" s="56">
        <f>IF(H31&lt;G85,(G85-H31)*G86*0.85,0)</f>
        <v>0</v>
      </c>
      <c r="H87" s="157"/>
      <c r="I87" s="158"/>
      <c r="J87" s="43"/>
      <c r="K87" s="43"/>
      <c r="L87" s="43"/>
      <c r="M87" s="43"/>
      <c r="N87" s="43"/>
      <c r="O87" s="43"/>
      <c r="P87" s="43"/>
      <c r="Q87" s="43"/>
      <c r="R87" s="43"/>
      <c r="S87" s="43"/>
      <c r="T87" s="43"/>
      <c r="U87" s="43"/>
    </row>
    <row r="88" spans="1:22" hidden="1" x14ac:dyDescent="0.2">
      <c r="A88" s="43"/>
      <c r="B88" s="228" t="s">
        <v>85</v>
      </c>
      <c r="C88" s="229"/>
      <c r="D88" s="230"/>
      <c r="E88" s="262">
        <f>(E87*E84+F87*F84+G87*G84)*E83</f>
        <v>0</v>
      </c>
      <c r="F88" s="263"/>
      <c r="G88" s="264"/>
      <c r="H88" s="61"/>
      <c r="I88" s="62"/>
      <c r="J88" s="43"/>
      <c r="K88" s="43"/>
      <c r="L88" s="43"/>
      <c r="M88" s="43"/>
      <c r="N88" s="43"/>
      <c r="O88" s="43"/>
      <c r="P88" s="43"/>
      <c r="Q88" s="43"/>
      <c r="R88" s="43"/>
      <c r="S88" s="43"/>
      <c r="T88" s="43"/>
      <c r="U88" s="43"/>
    </row>
    <row r="89" spans="1:22" hidden="1" x14ac:dyDescent="0.2">
      <c r="A89" s="43"/>
      <c r="B89" s="43"/>
      <c r="C89" s="43"/>
      <c r="D89" s="43"/>
      <c r="E89" s="43"/>
      <c r="F89" s="43"/>
      <c r="G89" s="43"/>
      <c r="H89" s="43"/>
      <c r="I89" s="43"/>
      <c r="J89" s="43"/>
      <c r="K89" s="43"/>
      <c r="L89" s="43"/>
      <c r="M89" s="43"/>
      <c r="N89" s="43"/>
      <c r="O89" s="43"/>
      <c r="P89" s="43"/>
      <c r="Q89" s="43"/>
      <c r="R89" s="43"/>
      <c r="S89" s="43"/>
      <c r="T89" s="43"/>
      <c r="U89" s="43"/>
    </row>
    <row r="90" spans="1:22" hidden="1" x14ac:dyDescent="0.2">
      <c r="A90" s="43"/>
      <c r="B90" s="43"/>
      <c r="C90" s="43"/>
      <c r="D90" s="43"/>
      <c r="E90" s="43"/>
      <c r="F90" s="43"/>
      <c r="G90" s="43"/>
      <c r="H90" s="43"/>
      <c r="I90" s="43"/>
      <c r="J90" s="43"/>
      <c r="K90" s="43"/>
      <c r="L90" s="43"/>
      <c r="M90" s="43"/>
      <c r="N90" s="43"/>
      <c r="O90" s="43"/>
      <c r="P90" s="43"/>
      <c r="Q90" s="43"/>
      <c r="R90" s="43"/>
      <c r="S90" s="43"/>
      <c r="T90" s="43"/>
      <c r="U90" s="43"/>
    </row>
    <row r="91" spans="1:22" hidden="1" x14ac:dyDescent="0.2">
      <c r="A91" s="43"/>
      <c r="B91" s="43"/>
      <c r="C91" s="43"/>
      <c r="D91" s="43"/>
      <c r="E91" s="43"/>
      <c r="F91" s="43"/>
      <c r="G91" s="43"/>
      <c r="H91" s="43"/>
      <c r="I91" s="43"/>
      <c r="J91" s="43"/>
      <c r="K91" s="43"/>
      <c r="L91" s="43"/>
      <c r="M91" s="43"/>
      <c r="N91" s="43"/>
      <c r="O91" s="43"/>
      <c r="P91" s="43"/>
      <c r="Q91" s="43"/>
      <c r="R91" s="43"/>
      <c r="S91" s="43"/>
      <c r="T91" s="43"/>
      <c r="U91" s="43"/>
    </row>
    <row r="92" spans="1:22" hidden="1" x14ac:dyDescent="0.2">
      <c r="A92" s="43"/>
      <c r="B92" s="43"/>
      <c r="C92" s="43"/>
      <c r="D92" s="43"/>
      <c r="E92" s="43"/>
      <c r="F92" s="43"/>
      <c r="G92" s="43"/>
      <c r="H92" s="43"/>
      <c r="I92" s="43"/>
      <c r="J92" s="43"/>
      <c r="K92" s="43"/>
      <c r="L92" s="43"/>
      <c r="M92" s="43"/>
      <c r="N92" s="43"/>
      <c r="O92" s="43"/>
      <c r="P92" s="43"/>
      <c r="Q92" s="43"/>
      <c r="R92" s="43"/>
      <c r="S92" s="43"/>
      <c r="T92" s="43"/>
      <c r="U92" s="43"/>
    </row>
    <row r="93" spans="1:22" hidden="1" x14ac:dyDescent="0.2">
      <c r="A93" s="43"/>
      <c r="B93" s="65" t="s">
        <v>112</v>
      </c>
      <c r="C93" s="65"/>
      <c r="D93" s="43" t="str">
        <f>"$" &amp; F10 &amp; " Base Land Rent plus " &amp; F17*100 &amp;"% Corn Revenue over $"  &amp; F16 &amp; ", " &amp; G17*100 &amp; "% Soybean Revenue over $" &amp; G16 &amp;", and " &amp; J17*100 &amp; "% Double Cropped Wheat and Soybean Revenue over $" &amp; J16&amp;"."</f>
        <v>$125 Base Land Rent plus 35% Corn Revenue over $475, 40% Soybean Revenue over $325, and 35% Double Cropped Wheat and Soybean Revenue over $575.</v>
      </c>
      <c r="E93" s="43"/>
      <c r="F93" s="43"/>
      <c r="G93" s="43"/>
      <c r="H93" s="43"/>
      <c r="I93" s="43"/>
      <c r="J93" s="43"/>
      <c r="K93" s="43"/>
      <c r="L93" s="43"/>
      <c r="M93" s="43"/>
      <c r="N93" s="43"/>
      <c r="O93" s="43"/>
      <c r="P93" s="43"/>
      <c r="Q93" s="43"/>
      <c r="R93" s="43"/>
      <c r="S93" s="43"/>
      <c r="T93" s="43"/>
      <c r="U93" s="43"/>
    </row>
    <row r="94" spans="1:22" hidden="1" x14ac:dyDescent="0.2">
      <c r="A94" s="43"/>
      <c r="B94" s="65" t="s">
        <v>113</v>
      </c>
      <c r="C94" s="65"/>
      <c r="D94" s="43" t="str">
        <f>"$" &amp; F10 &amp; " Base Land Rent plus " &amp; F17*100 &amp;"% Corn Revenue, " &amp; G17*100 &amp; "% Soybean Revenue, and " &amp; J17*100 &amp; "% Double Cropped Wheat and Soybean Revenue."</f>
        <v>$125 Base Land Rent plus 35% Corn Revenue, 40% Soybean Revenue, and 35% Double Cropped Wheat and Soybean Revenue.</v>
      </c>
      <c r="E94" s="43"/>
      <c r="F94" s="43"/>
      <c r="G94" s="43"/>
      <c r="H94" s="43"/>
      <c r="I94" s="43"/>
      <c r="J94" s="43"/>
      <c r="K94" s="43"/>
      <c r="L94" s="43"/>
      <c r="M94" s="43"/>
      <c r="N94" s="43"/>
      <c r="O94" s="43"/>
      <c r="P94" s="43"/>
      <c r="Q94" s="43"/>
      <c r="R94" s="43"/>
      <c r="S94" s="43"/>
      <c r="T94" s="43"/>
      <c r="U94" s="43"/>
    </row>
    <row r="95" spans="1:22" hidden="1" x14ac:dyDescent="0.2">
      <c r="A95" s="43"/>
      <c r="B95" s="43"/>
      <c r="C95" s="43"/>
      <c r="D95" s="43"/>
      <c r="E95" s="43"/>
      <c r="F95" s="43"/>
      <c r="G95" s="43"/>
      <c r="H95" s="43"/>
      <c r="I95" s="43"/>
      <c r="J95" s="43"/>
      <c r="K95" s="43"/>
      <c r="L95" s="43"/>
      <c r="M95" s="43"/>
      <c r="N95" s="43"/>
      <c r="O95" s="43"/>
      <c r="P95" s="43"/>
      <c r="Q95" s="43"/>
      <c r="R95" s="43"/>
      <c r="S95" s="43"/>
      <c r="T95" s="43"/>
      <c r="U95" s="43"/>
    </row>
    <row r="96" spans="1:22" hidden="1" x14ac:dyDescent="0.2">
      <c r="A96" s="43"/>
      <c r="B96" s="65" t="s">
        <v>110</v>
      </c>
      <c r="C96" s="43"/>
      <c r="D96" s="43" t="str">
        <f>"Note: Table is calculated assuming a yield of " &amp; F4 &amp; ", " &amp;G4&amp;", " &amp;H4&amp;", and "&amp;I4&amp;" bushels per acre for corn, full season soybeans, wheat, and double cropped soybeans, respectively. "</f>
        <v xml:space="preserve">Note: Table is calculated assuming a yield of 150, 45, 65, and 35 bushels per acre for corn, full season soybeans, wheat, and double cropped soybeans, respectively. </v>
      </c>
      <c r="E96" s="43"/>
      <c r="F96" s="43"/>
      <c r="G96" s="43"/>
      <c r="H96" s="43"/>
      <c r="I96" s="43"/>
      <c r="J96" s="43"/>
      <c r="K96" s="43"/>
      <c r="L96" s="43"/>
      <c r="M96" s="43"/>
      <c r="N96" s="43"/>
      <c r="O96" s="43"/>
      <c r="P96" s="43"/>
      <c r="Q96" s="43"/>
      <c r="R96" s="43"/>
      <c r="S96" s="43"/>
      <c r="T96" s="43"/>
      <c r="U96" s="43"/>
    </row>
    <row r="97" spans="1:21" hidden="1" x14ac:dyDescent="0.2">
      <c r="A97" s="43"/>
      <c r="B97" s="65" t="s">
        <v>111</v>
      </c>
      <c r="C97" s="43"/>
      <c r="D97" s="43" t="str">
        <f>"Note: Table is calculated assuming a price of $" &amp; F5 &amp; ", $" &amp;G5&amp;", and $" &amp;H5&amp;" dollars per bushel for corn, soybeans, and wheat, respectively. "</f>
        <v xml:space="preserve">Note: Table is calculated assuming a price of $3.75, $8.75, and $4.75 dollars per bushel for corn, soybeans, and wheat, respectively. </v>
      </c>
      <c r="E97" s="43"/>
      <c r="F97" s="43"/>
      <c r="G97" s="43"/>
      <c r="H97" s="43"/>
      <c r="I97" s="43"/>
      <c r="J97" s="43"/>
      <c r="K97" s="43"/>
      <c r="L97" s="43"/>
      <c r="M97" s="43"/>
      <c r="N97" s="43"/>
      <c r="O97" s="43"/>
      <c r="P97" s="43"/>
      <c r="Q97" s="43"/>
      <c r="R97" s="43"/>
      <c r="S97" s="43"/>
      <c r="T97" s="43"/>
      <c r="U97" s="43"/>
    </row>
    <row r="98" spans="1:21" x14ac:dyDescent="0.2">
      <c r="A98" s="43"/>
      <c r="B98" s="43"/>
      <c r="C98" s="43"/>
      <c r="D98" s="43"/>
      <c r="E98" s="43"/>
      <c r="F98" s="43"/>
      <c r="G98" s="43"/>
      <c r="H98" s="43"/>
      <c r="I98" s="43"/>
      <c r="J98" s="43"/>
      <c r="K98" s="43"/>
      <c r="L98" s="43"/>
      <c r="M98" s="43"/>
      <c r="N98" s="43"/>
      <c r="O98" s="43"/>
      <c r="P98" s="43"/>
      <c r="Q98" s="43"/>
      <c r="R98" s="43"/>
      <c r="S98" s="43"/>
      <c r="T98" s="43"/>
      <c r="U98" s="43"/>
    </row>
    <row r="99" spans="1:21" x14ac:dyDescent="0.2">
      <c r="A99" s="43"/>
      <c r="B99" s="43"/>
      <c r="C99" s="43"/>
      <c r="D99" s="43"/>
      <c r="E99" s="43"/>
      <c r="F99" s="43"/>
      <c r="G99" s="43"/>
      <c r="H99" s="43"/>
      <c r="I99" s="43"/>
      <c r="J99" s="43"/>
      <c r="K99" s="43"/>
      <c r="L99" s="43"/>
      <c r="M99" s="43"/>
      <c r="N99" s="43"/>
      <c r="O99" s="43"/>
      <c r="P99" s="43"/>
      <c r="Q99" s="43"/>
      <c r="R99" s="43"/>
      <c r="S99" s="43"/>
      <c r="T99" s="43"/>
      <c r="U99" s="43"/>
    </row>
    <row r="100" spans="1:21" x14ac:dyDescent="0.2">
      <c r="A100" s="43"/>
      <c r="B100" s="43"/>
      <c r="C100" s="43"/>
      <c r="D100" s="43"/>
      <c r="E100" s="43"/>
      <c r="F100" s="43"/>
      <c r="G100" s="43"/>
      <c r="H100" s="43"/>
      <c r="I100" s="43"/>
      <c r="J100" s="43"/>
      <c r="K100" s="43"/>
      <c r="L100" s="43"/>
      <c r="M100" s="43"/>
      <c r="N100" s="43"/>
      <c r="O100" s="43"/>
      <c r="P100" s="43"/>
      <c r="Q100" s="43"/>
      <c r="R100" s="43"/>
      <c r="S100" s="43"/>
      <c r="T100" s="43"/>
      <c r="U100" s="43"/>
    </row>
    <row r="101" spans="1:21" x14ac:dyDescent="0.2">
      <c r="A101" s="43"/>
      <c r="B101" s="43"/>
      <c r="C101" s="43"/>
      <c r="D101" s="43"/>
      <c r="E101" s="43"/>
      <c r="F101" s="43"/>
      <c r="G101" s="43"/>
      <c r="H101" s="43"/>
      <c r="I101" s="43"/>
      <c r="J101" s="43"/>
      <c r="K101" s="43"/>
      <c r="L101" s="43"/>
      <c r="M101" s="43"/>
      <c r="N101" s="43"/>
      <c r="O101" s="43"/>
      <c r="P101" s="43"/>
      <c r="Q101" s="43"/>
      <c r="R101" s="43"/>
      <c r="S101" s="43"/>
      <c r="T101" s="43"/>
      <c r="U101" s="43"/>
    </row>
    <row r="102" spans="1:21" x14ac:dyDescent="0.2">
      <c r="A102" s="43"/>
      <c r="B102" s="43"/>
      <c r="C102" s="43"/>
      <c r="D102" s="43"/>
      <c r="E102" s="43"/>
      <c r="F102" s="43"/>
      <c r="G102" s="43"/>
      <c r="H102" s="43"/>
      <c r="I102" s="43"/>
      <c r="J102" s="43"/>
      <c r="K102" s="43"/>
      <c r="L102" s="43"/>
      <c r="M102" s="43"/>
      <c r="N102" s="43"/>
      <c r="O102" s="43"/>
      <c r="P102" s="43"/>
      <c r="Q102" s="43"/>
      <c r="R102" s="43"/>
      <c r="S102" s="43"/>
      <c r="T102" s="43"/>
      <c r="U102" s="43"/>
    </row>
    <row r="103" spans="1:21" x14ac:dyDescent="0.2">
      <c r="A103" s="43"/>
      <c r="B103" s="43"/>
      <c r="C103" s="43"/>
      <c r="D103" s="43"/>
      <c r="E103" s="43"/>
      <c r="F103" s="43"/>
      <c r="G103" s="43"/>
      <c r="H103" s="43"/>
      <c r="I103" s="43"/>
      <c r="J103" s="43"/>
      <c r="K103" s="43"/>
      <c r="L103" s="43"/>
      <c r="M103" s="43"/>
      <c r="N103" s="43"/>
      <c r="O103" s="43"/>
      <c r="P103" s="43"/>
      <c r="Q103" s="43"/>
      <c r="R103" s="43"/>
      <c r="S103" s="43"/>
      <c r="T103" s="43"/>
      <c r="U103" s="43"/>
    </row>
    <row r="104" spans="1:21" x14ac:dyDescent="0.2">
      <c r="A104" s="43"/>
      <c r="B104" s="43"/>
      <c r="C104" s="43"/>
      <c r="D104" s="43"/>
      <c r="E104" s="43"/>
      <c r="F104" s="43"/>
      <c r="G104" s="43"/>
      <c r="H104" s="43"/>
      <c r="I104" s="43"/>
      <c r="J104" s="43"/>
      <c r="K104" s="43"/>
      <c r="L104" s="43"/>
      <c r="M104" s="43"/>
      <c r="N104" s="43"/>
      <c r="O104" s="43"/>
      <c r="P104" s="43"/>
      <c r="Q104" s="43"/>
      <c r="R104" s="43"/>
      <c r="S104" s="43"/>
      <c r="T104" s="43"/>
      <c r="U104" s="43"/>
    </row>
    <row r="105" spans="1:21" x14ac:dyDescent="0.2">
      <c r="A105" s="43"/>
      <c r="B105" s="43"/>
      <c r="C105" s="43"/>
      <c r="D105" s="43"/>
      <c r="E105" s="43"/>
      <c r="F105" s="43"/>
      <c r="G105" s="43"/>
      <c r="H105" s="43"/>
      <c r="I105" s="43"/>
      <c r="J105" s="43"/>
      <c r="K105" s="43"/>
      <c r="L105" s="43"/>
      <c r="M105" s="43"/>
      <c r="N105" s="43"/>
      <c r="O105" s="43"/>
      <c r="P105" s="43"/>
      <c r="Q105" s="43"/>
      <c r="R105" s="43"/>
      <c r="S105" s="43"/>
      <c r="T105" s="43"/>
      <c r="U105" s="43"/>
    </row>
    <row r="106" spans="1:21" x14ac:dyDescent="0.2">
      <c r="A106" s="43"/>
      <c r="B106" s="43"/>
      <c r="C106" s="43"/>
      <c r="D106" s="43"/>
      <c r="E106" s="43"/>
      <c r="F106" s="43"/>
      <c r="G106" s="43"/>
      <c r="H106" s="43"/>
      <c r="I106" s="43"/>
      <c r="J106" s="43"/>
      <c r="K106" s="43"/>
      <c r="L106" s="43"/>
      <c r="M106" s="43"/>
      <c r="N106" s="43"/>
      <c r="O106" s="43"/>
      <c r="P106" s="43"/>
      <c r="Q106" s="43"/>
      <c r="R106" s="43"/>
      <c r="S106" s="43"/>
      <c r="T106" s="43"/>
      <c r="U106" s="43"/>
    </row>
    <row r="107" spans="1:21" x14ac:dyDescent="0.2">
      <c r="A107" s="43"/>
      <c r="B107" s="43"/>
      <c r="C107" s="43"/>
      <c r="D107" s="43"/>
      <c r="E107" s="43"/>
      <c r="F107" s="43"/>
      <c r="G107" s="43"/>
      <c r="H107" s="43"/>
      <c r="I107" s="43"/>
      <c r="J107" s="43"/>
      <c r="K107" s="43"/>
      <c r="L107" s="43"/>
      <c r="M107" s="43"/>
      <c r="N107" s="43"/>
      <c r="O107" s="43"/>
      <c r="P107" s="43"/>
      <c r="Q107" s="43"/>
      <c r="R107" s="43"/>
      <c r="S107" s="43"/>
      <c r="T107" s="43"/>
      <c r="U107" s="43"/>
    </row>
    <row r="108" spans="1:21" x14ac:dyDescent="0.2">
      <c r="A108" s="43"/>
      <c r="B108" s="43"/>
      <c r="C108" s="43"/>
      <c r="D108" s="43"/>
      <c r="E108" s="43"/>
      <c r="F108" s="43"/>
      <c r="G108" s="43"/>
      <c r="H108" s="43"/>
      <c r="I108" s="43"/>
      <c r="J108" s="43"/>
      <c r="K108" s="43"/>
      <c r="L108" s="43"/>
      <c r="M108" s="43"/>
      <c r="N108" s="43"/>
      <c r="O108" s="43"/>
      <c r="P108" s="43"/>
      <c r="Q108" s="43"/>
      <c r="R108" s="43"/>
      <c r="S108" s="43"/>
      <c r="T108" s="43"/>
      <c r="U108" s="43"/>
    </row>
    <row r="109" spans="1:21" x14ac:dyDescent="0.2">
      <c r="A109" s="43"/>
      <c r="B109" s="43"/>
      <c r="C109" s="43"/>
      <c r="D109" s="43"/>
      <c r="E109" s="43"/>
      <c r="F109" s="43"/>
      <c r="G109" s="43"/>
      <c r="H109" s="43"/>
      <c r="I109" s="43"/>
      <c r="J109" s="43"/>
      <c r="K109" s="43"/>
      <c r="L109" s="43"/>
      <c r="M109" s="43"/>
      <c r="N109" s="43"/>
      <c r="O109" s="43"/>
      <c r="P109" s="43"/>
      <c r="Q109" s="43"/>
      <c r="R109" s="43"/>
      <c r="S109" s="43"/>
      <c r="T109" s="43"/>
      <c r="U109" s="43"/>
    </row>
    <row r="110" spans="1:21" x14ac:dyDescent="0.2">
      <c r="A110" s="43"/>
      <c r="B110" s="43"/>
      <c r="C110" s="43"/>
      <c r="D110" s="43"/>
      <c r="E110" s="43"/>
      <c r="F110" s="43"/>
      <c r="G110" s="43"/>
      <c r="H110" s="43"/>
      <c r="I110" s="43"/>
      <c r="J110" s="43"/>
      <c r="K110" s="43"/>
      <c r="L110" s="43"/>
      <c r="M110" s="43"/>
      <c r="N110" s="43"/>
      <c r="O110" s="43"/>
      <c r="P110" s="43"/>
      <c r="Q110" s="43"/>
      <c r="R110" s="43"/>
      <c r="S110" s="43"/>
      <c r="T110" s="43"/>
      <c r="U110" s="43"/>
    </row>
    <row r="111" spans="1:21" x14ac:dyDescent="0.2">
      <c r="A111" s="43"/>
      <c r="B111" s="43"/>
      <c r="C111" s="43"/>
      <c r="D111" s="43"/>
      <c r="E111" s="43"/>
      <c r="F111" s="43"/>
      <c r="G111" s="43"/>
      <c r="H111" s="43"/>
      <c r="I111" s="43"/>
      <c r="J111" s="43"/>
      <c r="K111" s="43"/>
      <c r="L111" s="43"/>
      <c r="M111" s="43"/>
      <c r="N111" s="43"/>
      <c r="O111" s="43"/>
      <c r="P111" s="43"/>
      <c r="Q111" s="43"/>
      <c r="R111" s="43"/>
      <c r="S111" s="43"/>
      <c r="T111" s="43"/>
      <c r="U111" s="43"/>
    </row>
    <row r="112" spans="1:21" x14ac:dyDescent="0.2">
      <c r="A112" s="43"/>
      <c r="B112" s="43"/>
      <c r="C112" s="43"/>
      <c r="D112" s="43"/>
      <c r="E112" s="43"/>
      <c r="F112" s="43"/>
      <c r="G112" s="43"/>
      <c r="H112" s="43"/>
      <c r="I112" s="43"/>
      <c r="J112" s="43"/>
      <c r="K112" s="43"/>
      <c r="L112" s="43"/>
      <c r="M112" s="43"/>
      <c r="N112" s="43"/>
      <c r="O112" s="43"/>
      <c r="P112" s="43"/>
      <c r="Q112" s="43"/>
      <c r="R112" s="43"/>
      <c r="S112" s="43"/>
      <c r="T112" s="43"/>
      <c r="U112" s="43"/>
    </row>
    <row r="113" spans="1:21" x14ac:dyDescent="0.2">
      <c r="A113" s="43"/>
      <c r="B113" s="43"/>
      <c r="C113" s="43"/>
      <c r="D113" s="43"/>
      <c r="E113" s="43"/>
      <c r="F113" s="43"/>
      <c r="G113" s="43"/>
      <c r="H113" s="43"/>
      <c r="I113" s="43"/>
      <c r="J113" s="43"/>
      <c r="K113" s="43"/>
      <c r="L113" s="43"/>
      <c r="M113" s="43"/>
      <c r="N113" s="43"/>
      <c r="O113" s="43"/>
      <c r="P113" s="43"/>
      <c r="Q113" s="43"/>
      <c r="R113" s="43"/>
      <c r="S113" s="43"/>
      <c r="T113" s="43"/>
      <c r="U113" s="43"/>
    </row>
    <row r="114" spans="1:21" x14ac:dyDescent="0.2">
      <c r="A114" s="43"/>
      <c r="B114" s="43"/>
      <c r="C114" s="43"/>
      <c r="D114" s="43"/>
      <c r="E114" s="43"/>
      <c r="F114" s="43"/>
      <c r="G114" s="43"/>
      <c r="H114" s="43"/>
      <c r="I114" s="43"/>
      <c r="J114" s="43"/>
      <c r="K114" s="43"/>
      <c r="L114" s="43"/>
      <c r="M114" s="43"/>
      <c r="N114" s="43"/>
      <c r="O114" s="43"/>
      <c r="P114" s="43"/>
      <c r="Q114" s="43"/>
      <c r="R114" s="43"/>
      <c r="S114" s="43"/>
      <c r="T114" s="43"/>
      <c r="U114" s="43"/>
    </row>
    <row r="115" spans="1:21" x14ac:dyDescent="0.2">
      <c r="A115" s="43"/>
      <c r="B115" s="43"/>
      <c r="C115" s="43"/>
      <c r="D115" s="43"/>
      <c r="E115" s="43"/>
      <c r="F115" s="43"/>
      <c r="G115" s="43"/>
      <c r="H115" s="43"/>
      <c r="I115" s="43"/>
      <c r="J115" s="43"/>
      <c r="K115" s="43"/>
      <c r="L115" s="43"/>
      <c r="M115" s="43"/>
      <c r="N115" s="43"/>
      <c r="O115" s="43"/>
      <c r="P115" s="43"/>
      <c r="Q115" s="43"/>
      <c r="R115" s="43"/>
      <c r="S115" s="43"/>
      <c r="T115" s="43"/>
      <c r="U115" s="43"/>
    </row>
  </sheetData>
  <sheetProtection password="8997" sheet="1" objects="1" scenarios="1" formatCells="0" formatColumns="0" formatRows="0"/>
  <mergeCells count="92">
    <mergeCell ref="R1:U1"/>
    <mergeCell ref="H8:I8"/>
    <mergeCell ref="J40:J41"/>
    <mergeCell ref="I40:I41"/>
    <mergeCell ref="G40:G41"/>
    <mergeCell ref="F35:J35"/>
    <mergeCell ref="B36:J36"/>
    <mergeCell ref="B32:E32"/>
    <mergeCell ref="B11:E11"/>
    <mergeCell ref="B9:E9"/>
    <mergeCell ref="B10:E10"/>
    <mergeCell ref="F12:J12"/>
    <mergeCell ref="B13:E13"/>
    <mergeCell ref="B16:E16"/>
    <mergeCell ref="B15:E15"/>
    <mergeCell ref="B2:J2"/>
    <mergeCell ref="C43:D43"/>
    <mergeCell ref="C42:D42"/>
    <mergeCell ref="B39:K39"/>
    <mergeCell ref="C44:D44"/>
    <mergeCell ref="F20:J20"/>
    <mergeCell ref="C40:D41"/>
    <mergeCell ref="B25:E25"/>
    <mergeCell ref="B24:E24"/>
    <mergeCell ref="B31:E31"/>
    <mergeCell ref="F23:J23"/>
    <mergeCell ref="B22:E22"/>
    <mergeCell ref="B34:E34"/>
    <mergeCell ref="B33:E33"/>
    <mergeCell ref="B20:E20"/>
    <mergeCell ref="E88:G88"/>
    <mergeCell ref="H40:H41"/>
    <mergeCell ref="C53:D53"/>
    <mergeCell ref="H53:H54"/>
    <mergeCell ref="B52:K52"/>
    <mergeCell ref="B53:B54"/>
    <mergeCell ref="E53:E54"/>
    <mergeCell ref="F53:F54"/>
    <mergeCell ref="G53:G54"/>
    <mergeCell ref="I53:I54"/>
    <mergeCell ref="J53:J54"/>
    <mergeCell ref="K53:K54"/>
    <mergeCell ref="F40:F41"/>
    <mergeCell ref="E40:E41"/>
    <mergeCell ref="B40:B41"/>
    <mergeCell ref="K40:K41"/>
    <mergeCell ref="B4:E4"/>
    <mergeCell ref="B3:E3"/>
    <mergeCell ref="F10:J10"/>
    <mergeCell ref="F9:J9"/>
    <mergeCell ref="F21:J21"/>
    <mergeCell ref="F6:J6"/>
    <mergeCell ref="B21:E21"/>
    <mergeCell ref="B8:E8"/>
    <mergeCell ref="B7:E7"/>
    <mergeCell ref="B6:E6"/>
    <mergeCell ref="B5:E5"/>
    <mergeCell ref="F11:J11"/>
    <mergeCell ref="B12:E12"/>
    <mergeCell ref="B19:E19"/>
    <mergeCell ref="B18:E18"/>
    <mergeCell ref="B17:E17"/>
    <mergeCell ref="B14:E14"/>
    <mergeCell ref="B23:E23"/>
    <mergeCell ref="B26:E26"/>
    <mergeCell ref="B88:D88"/>
    <mergeCell ref="B87:D87"/>
    <mergeCell ref="B86:D86"/>
    <mergeCell ref="B85:D85"/>
    <mergeCell ref="B84:D84"/>
    <mergeCell ref="B83:D83"/>
    <mergeCell ref="B30:E30"/>
    <mergeCell ref="B29:E29"/>
    <mergeCell ref="B28:E28"/>
    <mergeCell ref="B27:E27"/>
    <mergeCell ref="B35:E35"/>
    <mergeCell ref="B82:E82"/>
    <mergeCell ref="C48:D48"/>
    <mergeCell ref="C47:D47"/>
    <mergeCell ref="C46:D46"/>
    <mergeCell ref="C45:D45"/>
    <mergeCell ref="B62:K62"/>
    <mergeCell ref="B80:D80"/>
    <mergeCell ref="B49:K49"/>
    <mergeCell ref="B68:E68"/>
    <mergeCell ref="B69:E69"/>
    <mergeCell ref="F70:J70"/>
    <mergeCell ref="B79:D79"/>
    <mergeCell ref="B65:J65"/>
    <mergeCell ref="B66:E66"/>
    <mergeCell ref="B67:E67"/>
    <mergeCell ref="B70:E70"/>
  </mergeCells>
  <phoneticPr fontId="0" type="noConversion"/>
  <conditionalFormatting sqref="H69:I69 H18:I19 H34:I34">
    <cfRule type="expression" dxfId="2" priority="3">
      <formula>$F$12=$L$75</formula>
    </cfRule>
  </conditionalFormatting>
  <conditionalFormatting sqref="F25:J35 L25:R35 J40:K48 J53:K61">
    <cfRule type="expression" dxfId="1" priority="1">
      <formula>$F$23=$J$76</formula>
    </cfRule>
  </conditionalFormatting>
  <conditionalFormatting sqref="B16:L16">
    <cfRule type="expression" dxfId="0" priority="15">
      <formula>$F$9=$N$76</formula>
    </cfRule>
  </conditionalFormatting>
  <dataValidations count="5">
    <dataValidation type="list" allowBlank="1" showInputMessage="1" showErrorMessage="1" sqref="F11 F6:J6 F23:J23">
      <formula1>$J$75:$J$76</formula1>
    </dataValidation>
    <dataValidation type="list" allowBlank="1" showInputMessage="1" showErrorMessage="1" sqref="F12:F13">
      <formula1>$L$75:$L$76</formula1>
    </dataValidation>
    <dataValidation type="list" allowBlank="1" showInputMessage="1" showErrorMessage="1" sqref="F9:J9">
      <formula1>$N$75:$N$76</formula1>
    </dataValidation>
    <dataValidation type="decimal" operator="lessThanOrEqual" allowBlank="1" showInputMessage="1" showErrorMessage="1" errorTitle="Error!" error="The sum of the percentages CANNOT be greater than 100%._x000a__x000a_If you are getting this error message and your percentages are less than 100%, please ensure that the &quot;%&quot; sign is entered in the cell.”" sqref="F8">
      <formula1>1-G8-H8-J8</formula1>
    </dataValidation>
    <dataValidation type="decimal" operator="lessThanOrEqual" allowBlank="1" showInputMessage="1" showErrorMessage="1" errorTitle="Error!" error="The sum of the percentages CANNOT be greater than 100%._x000a__x000a_If you are getting this error message and your percentages are less than 100%, please ensure that the &quot;%&quot; sign is entered in the cell.”" sqref="G8">
      <formula1>1-F8-H8-J8</formula1>
    </dataValidation>
  </dataValidations>
  <pageMargins left="0.75" right="0.75" top="1" bottom="1" header="0.5" footer="0.5"/>
  <pageSetup orientation="landscape" r:id="rId1"/>
  <headerFooter alignWithMargins="0"/>
  <ignoredErrors>
    <ignoredError sqref="C45 E45 C58:E5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92"/>
  <sheetViews>
    <sheetView showGridLines="0" workbookViewId="0">
      <selection activeCell="F18" sqref="F18"/>
    </sheetView>
  </sheetViews>
  <sheetFormatPr defaultRowHeight="12.75" x14ac:dyDescent="0.2"/>
  <cols>
    <col min="1" max="1" width="2.42578125" customWidth="1"/>
    <col min="2" max="2" width="38.85546875" customWidth="1"/>
    <col min="3" max="3" width="12.140625" bestFit="1" customWidth="1"/>
    <col min="4" max="7" width="9.7109375" customWidth="1"/>
    <col min="8" max="8" width="3.42578125" customWidth="1"/>
    <col min="9" max="9" width="59.28515625" customWidth="1"/>
  </cols>
  <sheetData>
    <row r="1" spans="2:10" ht="13.5" thickBot="1" x14ac:dyDescent="0.25"/>
    <row r="2" spans="2:10" ht="17.25" thickTop="1" thickBot="1" x14ac:dyDescent="0.3">
      <c r="B2" s="334" t="s">
        <v>29</v>
      </c>
      <c r="C2" s="335"/>
      <c r="D2" s="335"/>
      <c r="E2" s="335"/>
      <c r="F2" s="335"/>
      <c r="G2" s="336"/>
      <c r="I2" s="7"/>
    </row>
    <row r="3" spans="2:10" ht="13.5" thickTop="1" x14ac:dyDescent="0.2">
      <c r="B3" s="68" t="s">
        <v>14</v>
      </c>
      <c r="C3" s="337"/>
      <c r="D3" s="337"/>
      <c r="E3" s="79"/>
      <c r="F3" s="79"/>
      <c r="G3" s="69"/>
      <c r="I3" s="7" t="s">
        <v>18</v>
      </c>
    </row>
    <row r="4" spans="2:10" x14ac:dyDescent="0.2">
      <c r="B4" s="17" t="s">
        <v>31</v>
      </c>
      <c r="C4" s="331">
        <f>'Base Lease Info'!F21</f>
        <v>150</v>
      </c>
      <c r="D4" s="332"/>
      <c r="E4" s="332"/>
      <c r="F4" s="332"/>
      <c r="G4" s="333"/>
      <c r="I4" s="7"/>
    </row>
    <row r="5" spans="2:10" x14ac:dyDescent="0.2">
      <c r="B5" s="17" t="s">
        <v>10</v>
      </c>
      <c r="C5" s="338">
        <f>'Base Lease Info'!F10</f>
        <v>125</v>
      </c>
      <c r="D5" s="339"/>
      <c r="E5" s="339"/>
      <c r="F5" s="339"/>
      <c r="G5" s="340"/>
      <c r="H5" s="15"/>
      <c r="I5" s="11"/>
    </row>
    <row r="6" spans="2:10" x14ac:dyDescent="0.2">
      <c r="B6" s="17" t="s">
        <v>32</v>
      </c>
      <c r="C6" s="331" t="str">
        <f>'Base Lease Info'!F11</f>
        <v>No</v>
      </c>
      <c r="D6" s="332"/>
      <c r="E6" s="332"/>
      <c r="F6" s="332"/>
      <c r="G6" s="333"/>
      <c r="H6" s="15"/>
      <c r="I6" s="11" t="s">
        <v>62</v>
      </c>
    </row>
    <row r="7" spans="2:10" x14ac:dyDescent="0.2">
      <c r="B7" s="17"/>
      <c r="C7" s="12" t="s">
        <v>22</v>
      </c>
      <c r="D7" s="12" t="s">
        <v>23</v>
      </c>
      <c r="E7" s="12" t="s">
        <v>73</v>
      </c>
      <c r="F7" s="12" t="s">
        <v>74</v>
      </c>
      <c r="G7" s="35" t="s">
        <v>76</v>
      </c>
      <c r="H7" s="15"/>
      <c r="I7" s="11"/>
    </row>
    <row r="8" spans="2:10" x14ac:dyDescent="0.2">
      <c r="B8" s="17" t="s">
        <v>28</v>
      </c>
      <c r="C8" s="13">
        <f>SUM('Base Lease Info'!F25:F27) + $C5</f>
        <v>600</v>
      </c>
      <c r="D8" s="13">
        <f>SUM('Base Lease Info'!G25:G27) + $C5</f>
        <v>405</v>
      </c>
      <c r="E8" s="13">
        <f>SUM('Base Lease Info'!H25:H27) + $C5</f>
        <v>395</v>
      </c>
      <c r="F8" s="13">
        <f>SUM('Base Lease Info'!I25:I27) + $C5</f>
        <v>400</v>
      </c>
      <c r="G8" s="70">
        <f>E8+F8</f>
        <v>795</v>
      </c>
      <c r="H8" s="15"/>
      <c r="I8" s="11" t="s">
        <v>54</v>
      </c>
    </row>
    <row r="9" spans="2:10" x14ac:dyDescent="0.2">
      <c r="B9" s="17" t="s">
        <v>11</v>
      </c>
      <c r="C9" s="30">
        <f>'Base Lease Info'!F16</f>
        <v>475</v>
      </c>
      <c r="D9" s="30">
        <f>'Base Lease Info'!G16</f>
        <v>325</v>
      </c>
      <c r="E9" s="30">
        <f>'Base Lease Info'!H16</f>
        <v>325</v>
      </c>
      <c r="F9" s="30">
        <f>'Base Lease Info'!I16</f>
        <v>250</v>
      </c>
      <c r="G9" s="70">
        <f>E9+F9</f>
        <v>575</v>
      </c>
      <c r="I9" s="11" t="s">
        <v>38</v>
      </c>
      <c r="J9" s="1"/>
    </row>
    <row r="10" spans="2:10" x14ac:dyDescent="0.2">
      <c r="B10" s="18" t="s">
        <v>12</v>
      </c>
      <c r="C10" s="31">
        <f>'Base Lease Info'!F17</f>
        <v>0.35</v>
      </c>
      <c r="D10" s="31">
        <f>'Base Lease Info'!G17</f>
        <v>0.4</v>
      </c>
      <c r="E10" s="31">
        <f>'Base Lease Info'!H17</f>
        <v>0.35</v>
      </c>
      <c r="F10" s="31">
        <f>'Base Lease Info'!I17</f>
        <v>0.35</v>
      </c>
      <c r="G10" s="71">
        <f>E10*(E17/G17) + F10*(F17/G17)</f>
        <v>0.35</v>
      </c>
      <c r="H10" s="15"/>
      <c r="I10" s="11" t="s">
        <v>39</v>
      </c>
    </row>
    <row r="11" spans="2:10" x14ac:dyDescent="0.2">
      <c r="B11" s="18" t="s">
        <v>55</v>
      </c>
      <c r="C11" s="10">
        <f>IF($C6='Base Lease Info'!$J$75,(C19+C20-C9)*C10,IF((C19 + C20) &gt; C9,(C19+C20-C9)*C10,0))</f>
        <v>30.624999999999996</v>
      </c>
      <c r="D11" s="10">
        <f>IF($C6='Base Lease Info'!$J$75,(D19+D20-D9)*D10,IF((D19 + D20) &gt; D9,(D19+D20-D9)*D10,0))</f>
        <v>27.5</v>
      </c>
      <c r="E11" s="10">
        <f>IF($C6='Base Lease Info'!$J$75,(E19+E20-E9)*E10,IF((E19 + E20) &gt; E9,(E19+E20-E9)*E10,0))</f>
        <v>0</v>
      </c>
      <c r="F11" s="10">
        <f>IF($C6='Base Lease Info'!$J$75,(F19+F20-F9)*F10,IF((F19 + F20) &gt; F9,(F19+F20-F9)*F10,0))</f>
        <v>19.6875</v>
      </c>
      <c r="G11" s="36">
        <f>IF($C6='Base Lease Info'!$J$75,(G19+G20-G9)*G10,IF((G19 + G20) &gt; G9,(G19+G20-G9)*G10,0))</f>
        <v>14</v>
      </c>
      <c r="H11" s="15"/>
      <c r="I11" s="11" t="s">
        <v>57</v>
      </c>
    </row>
    <row r="12" spans="2:10" ht="15.75" x14ac:dyDescent="0.25">
      <c r="B12" s="19" t="s">
        <v>56</v>
      </c>
      <c r="C12" s="9">
        <f>IF($C6='Base Lease Info'!$J$75,$C5+(C19+C20-C9)*C10,IF((C19 + C20) &gt; C9,$C5+(C19+C20-C9)*C10,$C5))</f>
        <v>155.625</v>
      </c>
      <c r="D12" s="9">
        <f>IF($C6='Base Lease Info'!$J$75,$C5+(D19+D20-D9)*D10,IF((D19 + D20) &gt; D9,$C5+(D19+D20-D9)*D10,$C5))</f>
        <v>152.5</v>
      </c>
      <c r="E12" s="9">
        <f>IF($C6='Base Lease Info'!$J$75,$C5/2+(E19+E20-E9)*E10,IF((E19 + E20) &gt; E9,$C5/2+(E19+E20-E9)*E10,$C5/2))</f>
        <v>62.5</v>
      </c>
      <c r="F12" s="9">
        <f>IF($C6='Base Lease Info'!$J$75,$C5/2+(F19+F20-F9)*F10,IF((F19 + F20) &gt; F9,$C5/2+(F19+F20-F9)*F10,$C5/2))</f>
        <v>82.1875</v>
      </c>
      <c r="G12" s="72">
        <f>IF($C6='Base Lease Info'!$J$75,$C5+(G19+G20-G9)*G10,IF((G19 + G20) &gt; G9,$C5+(G19+G20-G9)*G10,$C5))</f>
        <v>139</v>
      </c>
      <c r="I12" t="s">
        <v>40</v>
      </c>
    </row>
    <row r="13" spans="2:10" ht="15.75" x14ac:dyDescent="0.25">
      <c r="B13" s="19" t="s">
        <v>58</v>
      </c>
      <c r="C13" s="323">
        <f>IF('Base Lease Info'!F12='Base Lease Info'!L75,C12*'Base Lease Info'!F8 + D12*'Base Lease Info'!G8 + G12*'Base Lease Info'!J8, C12*'Base Lease Info'!F8 + D12*'Base Lease Info'!G8 + E12*'Base Lease Info'!H8 + F12*'Base Lease Info'!H8)</f>
        <v>150.6875</v>
      </c>
      <c r="D13" s="323"/>
      <c r="E13" s="323"/>
      <c r="F13" s="323"/>
      <c r="G13" s="324"/>
      <c r="I13" t="s">
        <v>48</v>
      </c>
    </row>
    <row r="14" spans="2:10" x14ac:dyDescent="0.2">
      <c r="B14" s="17" t="s">
        <v>19</v>
      </c>
      <c r="C14" s="325">
        <f>C13/$C4-1</f>
        <v>4.5833333333333837E-3</v>
      </c>
      <c r="D14" s="326"/>
      <c r="E14" s="326"/>
      <c r="F14" s="326"/>
      <c r="G14" s="327"/>
      <c r="I14" t="s">
        <v>49</v>
      </c>
    </row>
    <row r="15" spans="2:10" x14ac:dyDescent="0.2">
      <c r="B15" s="17"/>
      <c r="C15" s="8"/>
      <c r="D15" s="8"/>
      <c r="E15" s="8"/>
      <c r="F15" s="8"/>
      <c r="G15" s="73"/>
    </row>
    <row r="16" spans="2:10" x14ac:dyDescent="0.2">
      <c r="B16" s="20" t="s">
        <v>20</v>
      </c>
      <c r="C16" s="12" t="s">
        <v>22</v>
      </c>
      <c r="D16" s="12" t="s">
        <v>23</v>
      </c>
      <c r="E16" s="12" t="s">
        <v>73</v>
      </c>
      <c r="F16" s="12" t="s">
        <v>74</v>
      </c>
      <c r="G16" s="35" t="s">
        <v>76</v>
      </c>
    </row>
    <row r="17" spans="2:9" x14ac:dyDescent="0.2">
      <c r="B17" s="17" t="s">
        <v>0</v>
      </c>
      <c r="C17" s="32">
        <f>'Base Lease Info'!F4</f>
        <v>150</v>
      </c>
      <c r="D17" s="32">
        <f>'Base Lease Info'!G4</f>
        <v>45</v>
      </c>
      <c r="E17" s="32">
        <f>'Base Lease Info'!H4</f>
        <v>65</v>
      </c>
      <c r="F17" s="32">
        <f>'Base Lease Info'!I4</f>
        <v>35</v>
      </c>
      <c r="G17" s="74">
        <f>E17+F17</f>
        <v>100</v>
      </c>
      <c r="I17" t="s">
        <v>26</v>
      </c>
    </row>
    <row r="18" spans="2:9" x14ac:dyDescent="0.2">
      <c r="B18" s="17" t="s">
        <v>21</v>
      </c>
      <c r="C18" s="26">
        <f>'Base Lease Info'!F5</f>
        <v>3.75</v>
      </c>
      <c r="D18" s="26">
        <f>'Base Lease Info'!G5</f>
        <v>8.75</v>
      </c>
      <c r="E18" s="26">
        <f>'Base Lease Info'!H5</f>
        <v>4.75</v>
      </c>
      <c r="F18" s="26">
        <f>'Base Lease Info'!I5</f>
        <v>8.75</v>
      </c>
      <c r="G18" s="81">
        <f>E18*(E17/G17) + F18*(F17/G17)</f>
        <v>6.15</v>
      </c>
      <c r="I18" t="s">
        <v>27</v>
      </c>
    </row>
    <row r="19" spans="2:9" x14ac:dyDescent="0.2">
      <c r="B19" s="17" t="s">
        <v>5</v>
      </c>
      <c r="C19" s="3">
        <f>C17*C18</f>
        <v>562.5</v>
      </c>
      <c r="D19" s="3">
        <f>D17*D18</f>
        <v>393.75</v>
      </c>
      <c r="E19" s="3">
        <f>E17*E18</f>
        <v>308.75</v>
      </c>
      <c r="F19" s="3">
        <f>F17*F18</f>
        <v>306.25</v>
      </c>
      <c r="G19" s="46">
        <f>G17*G18</f>
        <v>615</v>
      </c>
      <c r="I19" t="s">
        <v>41</v>
      </c>
    </row>
    <row r="20" spans="2:9" x14ac:dyDescent="0.2">
      <c r="B20" s="17" t="s">
        <v>13</v>
      </c>
      <c r="C20" s="135">
        <f>IF('Base Lease Info'!$F6='Base Lease Info'!$J$75,'Base Lease Info'!$E88,0)</f>
        <v>0</v>
      </c>
      <c r="D20" s="135">
        <f>IF('Base Lease Info'!$F6='Base Lease Info'!$J$75,'Base Lease Info'!$E88,0)</f>
        <v>0</v>
      </c>
      <c r="E20" s="135">
        <f>IF('Base Lease Info'!$F6='Base Lease Info'!$J$75,'Base Lease Info'!$E88,0)</f>
        <v>0</v>
      </c>
      <c r="F20" s="135">
        <f>IF('Base Lease Info'!$F6='Base Lease Info'!$J$75,'Base Lease Info'!$E88,0)</f>
        <v>0</v>
      </c>
      <c r="G20" s="136">
        <f>IF('Base Lease Info'!$F6='Base Lease Info'!$J$75,'Base Lease Info'!$E88,0)</f>
        <v>0</v>
      </c>
      <c r="I20" s="25" t="s">
        <v>63</v>
      </c>
    </row>
    <row r="21" spans="2:9" x14ac:dyDescent="0.2">
      <c r="B21" s="27" t="s">
        <v>107</v>
      </c>
      <c r="C21" s="137">
        <f>'Base Lease Info'!E80</f>
        <v>0</v>
      </c>
      <c r="D21" s="137">
        <f>'Base Lease Info'!F80</f>
        <v>0</v>
      </c>
      <c r="E21" s="137">
        <f>'Base Lease Info'!G80</f>
        <v>0</v>
      </c>
      <c r="F21" s="137">
        <f>'Base Lease Info'!H80</f>
        <v>0</v>
      </c>
      <c r="G21" s="138">
        <f>'Base Lease Info'!I80</f>
        <v>0</v>
      </c>
      <c r="I21" s="25"/>
    </row>
    <row r="22" spans="2:9" x14ac:dyDescent="0.2">
      <c r="B22" s="24" t="s">
        <v>43</v>
      </c>
      <c r="C22" s="14">
        <f>SUM(C19:C21)</f>
        <v>562.5</v>
      </c>
      <c r="D22" s="14">
        <f t="shared" ref="D22:G22" si="0">SUM(D19:D21)</f>
        <v>393.75</v>
      </c>
      <c r="E22" s="14">
        <f t="shared" si="0"/>
        <v>308.75</v>
      </c>
      <c r="F22" s="14">
        <f>SUM(F19:F21)</f>
        <v>306.25</v>
      </c>
      <c r="G22" s="76">
        <f t="shared" si="0"/>
        <v>615</v>
      </c>
      <c r="I22" t="s">
        <v>42</v>
      </c>
    </row>
    <row r="23" spans="2:9" x14ac:dyDescent="0.2">
      <c r="B23" s="24"/>
      <c r="C23" s="14"/>
      <c r="D23" s="14"/>
      <c r="E23" s="14"/>
      <c r="F23" s="14"/>
      <c r="G23" s="76"/>
    </row>
    <row r="24" spans="2:9" x14ac:dyDescent="0.2">
      <c r="B24" s="40" t="s">
        <v>79</v>
      </c>
      <c r="C24" s="14"/>
      <c r="D24" s="14"/>
      <c r="E24" s="14"/>
      <c r="F24" s="14"/>
      <c r="G24" s="76"/>
    </row>
    <row r="25" spans="2:9" x14ac:dyDescent="0.2">
      <c r="B25" s="27" t="s">
        <v>81</v>
      </c>
      <c r="C25" s="95">
        <v>0.8</v>
      </c>
      <c r="D25" s="96"/>
      <c r="E25" s="96"/>
      <c r="F25" s="4"/>
      <c r="G25" s="37"/>
    </row>
    <row r="26" spans="2:9" x14ac:dyDescent="0.2">
      <c r="B26" s="27" t="s">
        <v>80</v>
      </c>
      <c r="C26" s="95">
        <v>0.5</v>
      </c>
      <c r="D26" s="95">
        <v>0.4</v>
      </c>
      <c r="E26" s="95">
        <f>1-C26-D26</f>
        <v>9.9999999999999978E-2</v>
      </c>
      <c r="F26" s="3"/>
      <c r="G26" s="39"/>
    </row>
    <row r="27" spans="2:9" x14ac:dyDescent="0.2">
      <c r="B27" s="27" t="s">
        <v>82</v>
      </c>
      <c r="C27" s="93">
        <v>3.7</v>
      </c>
      <c r="D27" s="93">
        <v>8.4</v>
      </c>
      <c r="E27" s="93">
        <v>5.5</v>
      </c>
      <c r="F27" s="3"/>
      <c r="G27" s="39"/>
    </row>
    <row r="28" spans="2:9" x14ac:dyDescent="0.2">
      <c r="B28" s="27" t="s">
        <v>83</v>
      </c>
      <c r="C28" s="97">
        <v>155</v>
      </c>
      <c r="D28" s="97">
        <v>48</v>
      </c>
      <c r="E28" s="97">
        <v>60</v>
      </c>
      <c r="F28" s="28"/>
      <c r="G28" s="77"/>
    </row>
    <row r="29" spans="2:9" x14ac:dyDescent="0.2">
      <c r="B29" s="27" t="s">
        <v>84</v>
      </c>
      <c r="C29" s="94">
        <f>IF(C19&lt;C27,(C27-C19)*C28*0.85,0)</f>
        <v>0</v>
      </c>
      <c r="D29" s="94">
        <f t="shared" ref="D29:E29" si="1">IF(D19&lt;D27,(D27-D19)*D28*0.85,0)</f>
        <v>0</v>
      </c>
      <c r="E29" s="94">
        <f t="shared" si="1"/>
        <v>0</v>
      </c>
      <c r="F29" s="28"/>
      <c r="G29" s="77"/>
    </row>
    <row r="30" spans="2:9" x14ac:dyDescent="0.2">
      <c r="B30" s="27" t="s">
        <v>85</v>
      </c>
      <c r="C30" s="320">
        <f>(C29*C26+D29*D26+E29*E26)*C25</f>
        <v>0</v>
      </c>
      <c r="D30" s="321"/>
      <c r="E30" s="322"/>
      <c r="F30" s="3"/>
      <c r="G30" s="39"/>
    </row>
    <row r="31" spans="2:9" x14ac:dyDescent="0.2">
      <c r="B31" s="27"/>
      <c r="C31" s="29"/>
      <c r="D31" s="3"/>
      <c r="E31" s="3"/>
      <c r="F31" s="3"/>
      <c r="G31" s="39"/>
    </row>
    <row r="32" spans="2:9" x14ac:dyDescent="0.2">
      <c r="B32" s="17"/>
      <c r="C32" s="2"/>
      <c r="D32" s="2"/>
      <c r="E32" s="2"/>
      <c r="F32" s="2"/>
      <c r="G32" s="78"/>
    </row>
    <row r="33" spans="2:9" x14ac:dyDescent="0.2">
      <c r="B33" s="16" t="s">
        <v>1</v>
      </c>
      <c r="C33" s="2"/>
      <c r="D33" s="2"/>
      <c r="E33" s="2"/>
      <c r="F33" s="2"/>
      <c r="G33" s="78"/>
    </row>
    <row r="34" spans="2:9" x14ac:dyDescent="0.2">
      <c r="B34" s="17" t="s">
        <v>2</v>
      </c>
      <c r="C34" s="3">
        <f>'Base Lease Info'!F25</f>
        <v>275</v>
      </c>
      <c r="D34" s="3">
        <f>'Base Lease Info'!G25</f>
        <v>150</v>
      </c>
      <c r="E34" s="3">
        <f>'Base Lease Info'!H25</f>
        <v>140</v>
      </c>
      <c r="F34" s="3">
        <f>'Base Lease Info'!I25</f>
        <v>150</v>
      </c>
      <c r="G34" s="39">
        <f>E34+F34</f>
        <v>290</v>
      </c>
      <c r="I34" t="s">
        <v>45</v>
      </c>
    </row>
    <row r="35" spans="2:9" x14ac:dyDescent="0.2">
      <c r="B35" s="17" t="s">
        <v>6</v>
      </c>
      <c r="C35" s="3">
        <f>'Base Lease Info'!F26</f>
        <v>140</v>
      </c>
      <c r="D35" s="3">
        <f>'Base Lease Info'!G26</f>
        <v>90</v>
      </c>
      <c r="E35" s="3">
        <f>'Base Lease Info'!H26</f>
        <v>90</v>
      </c>
      <c r="F35" s="3">
        <f>'Base Lease Info'!I26</f>
        <v>85</v>
      </c>
      <c r="G35" s="39">
        <f t="shared" ref="G35:G36" si="2">E35+F35</f>
        <v>175</v>
      </c>
      <c r="I35" t="s">
        <v>46</v>
      </c>
    </row>
    <row r="36" spans="2:9" x14ac:dyDescent="0.2">
      <c r="B36" s="17" t="s">
        <v>3</v>
      </c>
      <c r="C36" s="3">
        <f>'Base Lease Info'!F27</f>
        <v>60</v>
      </c>
      <c r="D36" s="3">
        <f>'Base Lease Info'!G27</f>
        <v>40</v>
      </c>
      <c r="E36" s="3">
        <f>'Base Lease Info'!H27</f>
        <v>40</v>
      </c>
      <c r="F36" s="3">
        <f>'Base Lease Info'!I27</f>
        <v>40</v>
      </c>
      <c r="G36" s="39">
        <f t="shared" si="2"/>
        <v>80</v>
      </c>
      <c r="I36" t="s">
        <v>47</v>
      </c>
    </row>
    <row r="37" spans="2:9" x14ac:dyDescent="0.2">
      <c r="B37" s="17" t="s">
        <v>4</v>
      </c>
      <c r="C37" s="6">
        <f>$C12</f>
        <v>155.625</v>
      </c>
      <c r="D37" s="6">
        <f>D12</f>
        <v>152.5</v>
      </c>
      <c r="E37" s="6">
        <f>E12</f>
        <v>62.5</v>
      </c>
      <c r="F37" s="6">
        <f>F12</f>
        <v>82.1875</v>
      </c>
      <c r="G37" s="38">
        <f>G12</f>
        <v>139</v>
      </c>
      <c r="I37" t="s">
        <v>60</v>
      </c>
    </row>
    <row r="38" spans="2:9" x14ac:dyDescent="0.2">
      <c r="B38" s="24" t="s">
        <v>44</v>
      </c>
      <c r="C38" s="14">
        <f>SUM(C34:C37)</f>
        <v>630.625</v>
      </c>
      <c r="D38" s="14">
        <f>SUM(D34:D37)</f>
        <v>432.5</v>
      </c>
      <c r="E38" s="14">
        <f t="shared" ref="E38" si="3">SUM(E34:E37)</f>
        <v>332.5</v>
      </c>
      <c r="F38" s="14">
        <f>SUM(F34:F37)</f>
        <v>357.1875</v>
      </c>
      <c r="G38" s="39">
        <f>SUM(G34:G37)</f>
        <v>684</v>
      </c>
      <c r="I38" t="s">
        <v>61</v>
      </c>
    </row>
    <row r="39" spans="2:9" x14ac:dyDescent="0.2">
      <c r="B39" s="17"/>
      <c r="C39" s="2"/>
      <c r="D39" s="2"/>
      <c r="E39" s="2"/>
      <c r="F39" s="2"/>
      <c r="G39" s="78"/>
    </row>
    <row r="40" spans="2:9" x14ac:dyDescent="0.2">
      <c r="B40" s="18" t="s">
        <v>8</v>
      </c>
      <c r="C40" s="3">
        <f>C22</f>
        <v>562.5</v>
      </c>
      <c r="D40" s="3">
        <f t="shared" ref="D40:G40" si="4">D22</f>
        <v>393.75</v>
      </c>
      <c r="E40" s="3">
        <f t="shared" si="4"/>
        <v>308.75</v>
      </c>
      <c r="F40" s="3">
        <f t="shared" si="4"/>
        <v>306.25</v>
      </c>
      <c r="G40" s="39">
        <f t="shared" si="4"/>
        <v>615</v>
      </c>
      <c r="I40" s="25" t="s">
        <v>67</v>
      </c>
    </row>
    <row r="41" spans="2:9" x14ac:dyDescent="0.2">
      <c r="B41" s="17" t="s">
        <v>9</v>
      </c>
      <c r="C41" s="5">
        <f>SUM(C34:C37)</f>
        <v>630.625</v>
      </c>
      <c r="D41" s="5">
        <f>SUM(D34:D37)</f>
        <v>432.5</v>
      </c>
      <c r="E41" s="5">
        <f t="shared" ref="E41" si="5">SUM(E34:E37)</f>
        <v>332.5</v>
      </c>
      <c r="F41" s="5">
        <f>SUM(F34:F37)</f>
        <v>357.1875</v>
      </c>
      <c r="G41" s="39">
        <f>SUM(G34:G37)</f>
        <v>684</v>
      </c>
    </row>
    <row r="42" spans="2:9" x14ac:dyDescent="0.2">
      <c r="B42" s="21" t="s">
        <v>7</v>
      </c>
      <c r="C42" s="10">
        <f>C40-C41</f>
        <v>-68.125</v>
      </c>
      <c r="D42" s="10">
        <f>D40-D41</f>
        <v>-38.75</v>
      </c>
      <c r="E42" s="10">
        <f>E40-E41</f>
        <v>-23.75</v>
      </c>
      <c r="F42" s="10">
        <f t="shared" ref="F42:G42" si="6">F40-F41</f>
        <v>-50.9375</v>
      </c>
      <c r="G42" s="36">
        <f t="shared" si="6"/>
        <v>-69</v>
      </c>
      <c r="I42" t="s">
        <v>50</v>
      </c>
    </row>
    <row r="43" spans="2:9" ht="13.5" thickBot="1" x14ac:dyDescent="0.25">
      <c r="B43" s="98" t="s">
        <v>25</v>
      </c>
      <c r="C43" s="341">
        <f>IF('Base Lease Info'!F12='Base Lease Info'!L76,C42*'Base Lease Info'!F8 + D42*'Base Lease Info'!G8 + E42*'Base Lease Info'!H8 + F42*'Base Lease Info'!H8,C42*'Base Lease Info'!F8 + D42*'Base Lease Info'!G8 + G42*'Base Lease Info'!J8)</f>
        <v>-61</v>
      </c>
      <c r="D43" s="342"/>
      <c r="E43" s="342"/>
      <c r="F43" s="342"/>
      <c r="G43" s="343"/>
      <c r="I43" t="s">
        <v>51</v>
      </c>
    </row>
    <row r="44" spans="2:9" ht="13.5" thickTop="1" x14ac:dyDescent="0.2"/>
    <row r="45" spans="2:9" x14ac:dyDescent="0.2">
      <c r="B45" s="1" t="s">
        <v>59</v>
      </c>
    </row>
    <row r="47" spans="2:9" ht="13.5" thickBot="1" x14ac:dyDescent="0.25"/>
    <row r="48" spans="2:9" ht="17.25" thickTop="1" thickBot="1" x14ac:dyDescent="0.3">
      <c r="B48" s="334" t="s">
        <v>92</v>
      </c>
      <c r="C48" s="335"/>
      <c r="D48" s="335"/>
      <c r="E48" s="335"/>
      <c r="F48" s="335"/>
      <c r="G48" s="336"/>
      <c r="I48" s="7"/>
    </row>
    <row r="49" spans="2:11" ht="13.5" thickTop="1" x14ac:dyDescent="0.2">
      <c r="B49" s="68" t="s">
        <v>14</v>
      </c>
      <c r="C49" s="337"/>
      <c r="D49" s="337"/>
      <c r="E49" s="79"/>
      <c r="F49" s="79"/>
      <c r="G49" s="69"/>
      <c r="I49" s="7" t="s">
        <v>18</v>
      </c>
    </row>
    <row r="50" spans="2:11" x14ac:dyDescent="0.2">
      <c r="B50" s="17" t="s">
        <v>31</v>
      </c>
      <c r="C50" s="331">
        <f>'Base Lease Info'!F21</f>
        <v>150</v>
      </c>
      <c r="D50" s="332"/>
      <c r="E50" s="332"/>
      <c r="F50" s="332"/>
      <c r="G50" s="333"/>
      <c r="I50" s="7"/>
    </row>
    <row r="51" spans="2:11" x14ac:dyDescent="0.2">
      <c r="B51" s="17" t="s">
        <v>10</v>
      </c>
      <c r="C51" s="338">
        <f>'Base Lease Info'!F10</f>
        <v>125</v>
      </c>
      <c r="D51" s="339"/>
      <c r="E51" s="339"/>
      <c r="F51" s="339"/>
      <c r="G51" s="340"/>
      <c r="H51" s="15"/>
      <c r="I51" s="11"/>
    </row>
    <row r="52" spans="2:11" x14ac:dyDescent="0.2">
      <c r="B52" s="17" t="s">
        <v>32</v>
      </c>
      <c r="C52" s="331" t="str">
        <f>'Base Lease Info'!F11</f>
        <v>No</v>
      </c>
      <c r="D52" s="332"/>
      <c r="E52" s="332"/>
      <c r="F52" s="332"/>
      <c r="G52" s="333"/>
      <c r="H52" s="15"/>
      <c r="I52" s="11" t="s">
        <v>62</v>
      </c>
    </row>
    <row r="53" spans="2:11" x14ac:dyDescent="0.2">
      <c r="B53" s="27"/>
      <c r="C53" s="12" t="s">
        <v>22</v>
      </c>
      <c r="D53" s="12" t="s">
        <v>23</v>
      </c>
      <c r="E53" s="12" t="s">
        <v>73</v>
      </c>
      <c r="F53" s="12" t="s">
        <v>74</v>
      </c>
      <c r="G53" s="35" t="s">
        <v>76</v>
      </c>
      <c r="H53" s="15"/>
      <c r="I53" s="11"/>
    </row>
    <row r="54" spans="2:11" x14ac:dyDescent="0.2">
      <c r="B54" s="80" t="s">
        <v>12</v>
      </c>
      <c r="C54" s="31">
        <f>'Base Lease Info'!F17</f>
        <v>0.35</v>
      </c>
      <c r="D54" s="31">
        <f>'Base Lease Info'!G17</f>
        <v>0.4</v>
      </c>
      <c r="E54" s="31">
        <f>'Base Lease Info'!H17</f>
        <v>0.35</v>
      </c>
      <c r="F54" s="31">
        <f>'Base Lease Info'!I17</f>
        <v>0.35</v>
      </c>
      <c r="G54" s="71">
        <f>AVERAGE('Base Lease Info'!H17,'Base Lease Info'!I17)</f>
        <v>0.35</v>
      </c>
      <c r="H54" s="15"/>
      <c r="I54" s="11" t="s">
        <v>39</v>
      </c>
    </row>
    <row r="55" spans="2:11" ht="15.75" x14ac:dyDescent="0.25">
      <c r="B55" s="19" t="s">
        <v>91</v>
      </c>
      <c r="C55" s="9">
        <f>IF($C$52='Base Lease Info'!$J$75,C83*C54,IF(C83*C54&gt;$C$51,C83*C54,$C$51))</f>
        <v>196.875</v>
      </c>
      <c r="D55" s="9">
        <f>IF($C$52='Base Lease Info'!$J$75,D83*D54,IF(D83*D54&gt;$C$51,D83*D54,$C$51))</f>
        <v>157.5</v>
      </c>
      <c r="E55" s="9">
        <f>IF($C$52='Base Lease Info'!$J$75,E83*E54,IF(E83*E54&gt;$C$51/2,E83*E54,$C$51/2))</f>
        <v>108.0625</v>
      </c>
      <c r="F55" s="9">
        <f>IF($C$52='Base Lease Info'!$J$75,F83*F54,IF(F83*F54&gt;$C$51/2,F83*F54,$C$51/2))</f>
        <v>107.1875</v>
      </c>
      <c r="G55" s="72">
        <f>IF($C$52='Base Lease Info'!$J$75,G83*G54,IF(G83*G54&gt;$C$51,G83*G54,$C$51))</f>
        <v>215.25</v>
      </c>
      <c r="I55" t="s">
        <v>40</v>
      </c>
    </row>
    <row r="56" spans="2:11" ht="15.75" x14ac:dyDescent="0.25">
      <c r="B56" s="19" t="s">
        <v>58</v>
      </c>
      <c r="C56" s="323">
        <f>IF('Base Lease Info'!F12='Base Lease Info'!L75,C55*'Base Lease Info'!F8 + D55*'Base Lease Info'!G8 + G55*'Base Lease Info'!J8, C55*'Base Lease Info'!F8 + D55*'Base Lease Info'!G8 + E55*'Base Lease Info'!H8 + F55*'Base Lease Info'!H8)</f>
        <v>191.625</v>
      </c>
      <c r="D56" s="323"/>
      <c r="E56" s="323"/>
      <c r="F56" s="323"/>
      <c r="G56" s="324"/>
      <c r="I56" t="s">
        <v>48</v>
      </c>
    </row>
    <row r="57" spans="2:11" x14ac:dyDescent="0.2">
      <c r="B57" s="17" t="s">
        <v>19</v>
      </c>
      <c r="C57" s="325">
        <f>C56/$C50-1</f>
        <v>0.27750000000000008</v>
      </c>
      <c r="D57" s="326"/>
      <c r="E57" s="326"/>
      <c r="F57" s="326"/>
      <c r="G57" s="327"/>
      <c r="I57" t="s">
        <v>49</v>
      </c>
    </row>
    <row r="58" spans="2:11" x14ac:dyDescent="0.2">
      <c r="B58" s="17"/>
      <c r="C58" s="8"/>
      <c r="D58" s="8"/>
      <c r="E58" s="8"/>
      <c r="F58" s="8"/>
      <c r="G58" s="73"/>
    </row>
    <row r="59" spans="2:11" x14ac:dyDescent="0.2">
      <c r="B59" s="20" t="s">
        <v>20</v>
      </c>
      <c r="C59" s="12" t="s">
        <v>22</v>
      </c>
      <c r="D59" s="12" t="s">
        <v>23</v>
      </c>
      <c r="E59" s="12" t="s">
        <v>73</v>
      </c>
      <c r="F59" s="12" t="s">
        <v>74</v>
      </c>
      <c r="G59" s="35" t="s">
        <v>76</v>
      </c>
    </row>
    <row r="60" spans="2:11" x14ac:dyDescent="0.2">
      <c r="B60" s="17" t="s">
        <v>0</v>
      </c>
      <c r="C60" s="32">
        <f>'Base Lease Info'!F4</f>
        <v>150</v>
      </c>
      <c r="D60" s="32">
        <f>'Base Lease Info'!G4</f>
        <v>45</v>
      </c>
      <c r="E60" s="32">
        <f>'Base Lease Info'!H4</f>
        <v>65</v>
      </c>
      <c r="F60" s="32">
        <f>'Base Lease Info'!I4</f>
        <v>35</v>
      </c>
      <c r="G60" s="74">
        <f>E60+F60</f>
        <v>100</v>
      </c>
      <c r="I60" t="s">
        <v>26</v>
      </c>
      <c r="K60" s="82"/>
    </row>
    <row r="61" spans="2:11" x14ac:dyDescent="0.2">
      <c r="B61" s="17" t="s">
        <v>21</v>
      </c>
      <c r="C61" s="26">
        <f>'Base Lease Info'!F5</f>
        <v>3.75</v>
      </c>
      <c r="D61" s="26">
        <f>'Base Lease Info'!G5</f>
        <v>8.75</v>
      </c>
      <c r="E61" s="26">
        <f>'Base Lease Info'!H5</f>
        <v>4.75</v>
      </c>
      <c r="F61" s="26">
        <f>'Base Lease Info'!I5</f>
        <v>8.75</v>
      </c>
      <c r="G61" s="75">
        <f>E61*(E60/G60) + F61*(F60/G60)</f>
        <v>6.15</v>
      </c>
      <c r="I61" t="s">
        <v>27</v>
      </c>
    </row>
    <row r="62" spans="2:11" x14ac:dyDescent="0.2">
      <c r="B62" s="17" t="s">
        <v>5</v>
      </c>
      <c r="C62" s="3">
        <f>C60*C61</f>
        <v>562.5</v>
      </c>
      <c r="D62" s="3">
        <f>D60*D61</f>
        <v>393.75</v>
      </c>
      <c r="E62" s="3">
        <f>E60*E61</f>
        <v>308.75</v>
      </c>
      <c r="F62" s="3">
        <f t="shared" ref="F62" si="7">F60*F61</f>
        <v>306.25</v>
      </c>
      <c r="G62" s="46">
        <f>G60*G61</f>
        <v>615</v>
      </c>
      <c r="I62" t="s">
        <v>41</v>
      </c>
    </row>
    <row r="63" spans="2:11" x14ac:dyDescent="0.2">
      <c r="B63" s="17" t="s">
        <v>13</v>
      </c>
      <c r="C63" s="3">
        <f>IF('Base Lease Info'!$F6='Base Lease Info'!$J$75,$C73,0)</f>
        <v>0</v>
      </c>
      <c r="D63" s="3">
        <f>IF('Base Lease Info'!$F6='Base Lease Info'!$J$75,$C73,0)</f>
        <v>0</v>
      </c>
      <c r="E63" s="3">
        <f>IF('Base Lease Info'!$F6='Base Lease Info'!$J$75,$C73,0)</f>
        <v>0</v>
      </c>
      <c r="F63" s="3">
        <f>IF('Base Lease Info'!$F6='Base Lease Info'!$J$75,$C73,0)</f>
        <v>0</v>
      </c>
      <c r="G63" s="39">
        <f>IF('Base Lease Info'!$F6='Base Lease Info'!$J$75,$C73,0)</f>
        <v>0</v>
      </c>
      <c r="I63" s="25" t="s">
        <v>63</v>
      </c>
    </row>
    <row r="64" spans="2:11" x14ac:dyDescent="0.2">
      <c r="B64" s="27" t="s">
        <v>107</v>
      </c>
      <c r="C64" s="6">
        <f>'Base Lease Info'!E80</f>
        <v>0</v>
      </c>
      <c r="D64" s="6">
        <f>'Base Lease Info'!F80</f>
        <v>0</v>
      </c>
      <c r="E64" s="6">
        <f>'Base Lease Info'!G80</f>
        <v>0</v>
      </c>
      <c r="F64" s="6">
        <f>'Base Lease Info'!H80</f>
        <v>0</v>
      </c>
      <c r="G64" s="38">
        <f>'Base Lease Info'!I80</f>
        <v>0</v>
      </c>
      <c r="I64" s="25"/>
    </row>
    <row r="65" spans="2:9" x14ac:dyDescent="0.2">
      <c r="B65" s="24" t="s">
        <v>43</v>
      </c>
      <c r="C65" s="14">
        <f>SUM(C62:C64)</f>
        <v>562.5</v>
      </c>
      <c r="D65" s="14">
        <f t="shared" ref="D65" si="8">SUM(D62:D64)</f>
        <v>393.75</v>
      </c>
      <c r="E65" s="14">
        <f>SUM(E62:E64)</f>
        <v>308.75</v>
      </c>
      <c r="F65" s="14">
        <f>SUM(F62:F64)</f>
        <v>306.25</v>
      </c>
      <c r="G65" s="76">
        <f>SUM(G62:G64)</f>
        <v>615</v>
      </c>
      <c r="I65" t="s">
        <v>42</v>
      </c>
    </row>
    <row r="66" spans="2:9" x14ac:dyDescent="0.2">
      <c r="B66" s="24"/>
      <c r="C66" s="14"/>
      <c r="D66" s="14"/>
      <c r="E66" s="14"/>
      <c r="F66" s="14"/>
      <c r="G66" s="76"/>
    </row>
    <row r="67" spans="2:9" x14ac:dyDescent="0.2">
      <c r="B67" s="40" t="s">
        <v>79</v>
      </c>
      <c r="C67" s="14"/>
      <c r="D67" s="14"/>
      <c r="E67" s="14"/>
      <c r="F67" s="14"/>
      <c r="G67" s="76"/>
    </row>
    <row r="68" spans="2:9" x14ac:dyDescent="0.2">
      <c r="B68" s="27" t="s">
        <v>81</v>
      </c>
      <c r="C68" s="95">
        <f>'Base Lease Info'!E83</f>
        <v>0.8</v>
      </c>
      <c r="D68" s="96"/>
      <c r="E68" s="96"/>
      <c r="F68" s="4"/>
      <c r="G68" s="37"/>
    </row>
    <row r="69" spans="2:9" x14ac:dyDescent="0.2">
      <c r="B69" s="27" t="s">
        <v>80</v>
      </c>
      <c r="C69" s="95">
        <f>'Base Lease Info'!E84</f>
        <v>0.5</v>
      </c>
      <c r="D69" s="95">
        <f>'Base Lease Info'!F84</f>
        <v>0.4</v>
      </c>
      <c r="E69" s="95">
        <f>'Base Lease Info'!G84</f>
        <v>9.9999999999999978E-2</v>
      </c>
      <c r="F69" s="3"/>
      <c r="G69" s="39"/>
    </row>
    <row r="70" spans="2:9" x14ac:dyDescent="0.2">
      <c r="B70" s="27" t="s">
        <v>82</v>
      </c>
      <c r="C70" s="93">
        <f>'Base Lease Info'!E85</f>
        <v>3.7</v>
      </c>
      <c r="D70" s="93">
        <f>'Base Lease Info'!F85</f>
        <v>8.4</v>
      </c>
      <c r="E70" s="93">
        <f>'Base Lease Info'!G85</f>
        <v>5.5</v>
      </c>
      <c r="F70" s="3"/>
      <c r="G70" s="39"/>
    </row>
    <row r="71" spans="2:9" x14ac:dyDescent="0.2">
      <c r="B71" s="27" t="s">
        <v>83</v>
      </c>
      <c r="C71" s="97">
        <f>'Base Lease Info'!E86</f>
        <v>155</v>
      </c>
      <c r="D71" s="97">
        <f>'Base Lease Info'!F86</f>
        <v>48</v>
      </c>
      <c r="E71" s="97">
        <f>'Base Lease Info'!G86</f>
        <v>60</v>
      </c>
      <c r="F71" s="28"/>
      <c r="G71" s="77"/>
    </row>
    <row r="72" spans="2:9" x14ac:dyDescent="0.2">
      <c r="B72" s="27" t="s">
        <v>84</v>
      </c>
      <c r="C72" s="94">
        <f>IF(C61&lt;C70,(C70-C61)*C71*0.85,0)</f>
        <v>0</v>
      </c>
      <c r="D72" s="94">
        <f t="shared" ref="D72:E72" si="9">IF(D61&lt;D70,(D70-D61)*D71*0.85,0)</f>
        <v>0</v>
      </c>
      <c r="E72" s="94">
        <f t="shared" si="9"/>
        <v>38.25</v>
      </c>
      <c r="F72" s="28"/>
      <c r="G72" s="77"/>
    </row>
    <row r="73" spans="2:9" x14ac:dyDescent="0.2">
      <c r="B73" s="27" t="s">
        <v>85</v>
      </c>
      <c r="C73" s="320">
        <f>(C72*C69+D72*D69+E72*E69)*C68</f>
        <v>3.0599999999999996</v>
      </c>
      <c r="D73" s="321"/>
      <c r="E73" s="322"/>
      <c r="F73" s="3"/>
      <c r="G73" s="39"/>
    </row>
    <row r="74" spans="2:9" x14ac:dyDescent="0.2">
      <c r="B74" s="27"/>
      <c r="C74" s="29"/>
      <c r="D74" s="3"/>
      <c r="E74" s="3"/>
      <c r="F74" s="3"/>
      <c r="G74" s="39"/>
    </row>
    <row r="75" spans="2:9" x14ac:dyDescent="0.2">
      <c r="B75" s="17"/>
      <c r="C75" s="2"/>
      <c r="D75" s="2"/>
      <c r="E75" s="2"/>
      <c r="F75" s="2"/>
      <c r="G75" s="78"/>
    </row>
    <row r="76" spans="2:9" x14ac:dyDescent="0.2">
      <c r="B76" s="16" t="s">
        <v>1</v>
      </c>
      <c r="C76" s="2"/>
      <c r="D76" s="2"/>
      <c r="E76" s="2"/>
      <c r="F76" s="2"/>
      <c r="G76" s="78"/>
    </row>
    <row r="77" spans="2:9" x14ac:dyDescent="0.2">
      <c r="B77" s="17" t="s">
        <v>2</v>
      </c>
      <c r="C77" s="3">
        <f>'Base Lease Info'!F25</f>
        <v>275</v>
      </c>
      <c r="D77" s="3">
        <f>'Base Lease Info'!G25</f>
        <v>150</v>
      </c>
      <c r="E77" s="3">
        <f>'Base Lease Info'!H25</f>
        <v>140</v>
      </c>
      <c r="F77" s="3">
        <f>'Base Lease Info'!I25</f>
        <v>150</v>
      </c>
      <c r="G77" s="39">
        <f>E77+F77</f>
        <v>290</v>
      </c>
      <c r="I77" t="s">
        <v>45</v>
      </c>
    </row>
    <row r="78" spans="2:9" x14ac:dyDescent="0.2">
      <c r="B78" s="17" t="s">
        <v>6</v>
      </c>
      <c r="C78" s="3">
        <f>'Base Lease Info'!F26</f>
        <v>140</v>
      </c>
      <c r="D78" s="3">
        <f>'Base Lease Info'!G26</f>
        <v>90</v>
      </c>
      <c r="E78" s="3">
        <f>'Base Lease Info'!H26</f>
        <v>90</v>
      </c>
      <c r="F78" s="3">
        <f>'Base Lease Info'!I26</f>
        <v>85</v>
      </c>
      <c r="G78" s="39">
        <f t="shared" ref="G78:G79" si="10">E78+F78</f>
        <v>175</v>
      </c>
      <c r="I78" t="s">
        <v>46</v>
      </c>
    </row>
    <row r="79" spans="2:9" x14ac:dyDescent="0.2">
      <c r="B79" s="17" t="s">
        <v>3</v>
      </c>
      <c r="C79" s="3">
        <f>'Base Lease Info'!F27</f>
        <v>60</v>
      </c>
      <c r="D79" s="3">
        <f>'Base Lease Info'!G27</f>
        <v>40</v>
      </c>
      <c r="E79" s="3">
        <f>'Base Lease Info'!H27</f>
        <v>40</v>
      </c>
      <c r="F79" s="3">
        <f>'Base Lease Info'!I27</f>
        <v>40</v>
      </c>
      <c r="G79" s="39">
        <f t="shared" si="10"/>
        <v>80</v>
      </c>
      <c r="I79" t="s">
        <v>47</v>
      </c>
    </row>
    <row r="80" spans="2:9" x14ac:dyDescent="0.2">
      <c r="B80" s="18" t="s">
        <v>4</v>
      </c>
      <c r="C80" s="6">
        <f>$C55</f>
        <v>196.875</v>
      </c>
      <c r="D80" s="6">
        <f>D55</f>
        <v>157.5</v>
      </c>
      <c r="E80" s="6">
        <f>E55</f>
        <v>108.0625</v>
      </c>
      <c r="F80" s="6">
        <f>F55</f>
        <v>107.1875</v>
      </c>
      <c r="G80" s="38">
        <f>G55</f>
        <v>215.25</v>
      </c>
      <c r="I80" t="s">
        <v>60</v>
      </c>
    </row>
    <row r="81" spans="2:9" x14ac:dyDescent="0.2">
      <c r="B81" s="24" t="s">
        <v>44</v>
      </c>
      <c r="C81" s="14">
        <f>SUM(C77:C80)</f>
        <v>671.875</v>
      </c>
      <c r="D81" s="14">
        <f>SUM(D77:D80)</f>
        <v>437.5</v>
      </c>
      <c r="E81" s="14">
        <f t="shared" ref="E81" si="11">SUM(E77:E80)</f>
        <v>378.0625</v>
      </c>
      <c r="F81" s="14">
        <f>SUM(F77:F80)</f>
        <v>382.1875</v>
      </c>
      <c r="G81" s="39">
        <f>SUM(G77:G80)</f>
        <v>760.25</v>
      </c>
      <c r="I81" t="s">
        <v>61</v>
      </c>
    </row>
    <row r="82" spans="2:9" x14ac:dyDescent="0.2">
      <c r="B82" s="17"/>
      <c r="C82" s="2"/>
      <c r="D82" s="2"/>
      <c r="E82" s="2"/>
      <c r="F82" s="2"/>
      <c r="G82" s="78"/>
    </row>
    <row r="83" spans="2:9" x14ac:dyDescent="0.2">
      <c r="B83" s="17" t="s">
        <v>8</v>
      </c>
      <c r="C83" s="3">
        <f>C65</f>
        <v>562.5</v>
      </c>
      <c r="D83" s="3">
        <f t="shared" ref="D83:G83" si="12">D65</f>
        <v>393.75</v>
      </c>
      <c r="E83" s="3">
        <f>E65</f>
        <v>308.75</v>
      </c>
      <c r="F83" s="3">
        <f t="shared" si="12"/>
        <v>306.25</v>
      </c>
      <c r="G83" s="39">
        <f t="shared" si="12"/>
        <v>615</v>
      </c>
      <c r="I83" s="25" t="s">
        <v>67</v>
      </c>
    </row>
    <row r="84" spans="2:9" x14ac:dyDescent="0.2">
      <c r="B84" s="17" t="s">
        <v>9</v>
      </c>
      <c r="C84" s="5">
        <f>SUM(C77:C80)</f>
        <v>671.875</v>
      </c>
      <c r="D84" s="5">
        <f t="shared" ref="D84:F84" si="13">SUM(D77:D80)</f>
        <v>437.5</v>
      </c>
      <c r="E84" s="5">
        <f>SUM(E77:E80)</f>
        <v>378.0625</v>
      </c>
      <c r="F84" s="5">
        <f t="shared" si="13"/>
        <v>382.1875</v>
      </c>
      <c r="G84" s="85">
        <f>SUM(G77:G80)</f>
        <v>760.25</v>
      </c>
    </row>
    <row r="85" spans="2:9" x14ac:dyDescent="0.2">
      <c r="B85" s="21" t="s">
        <v>7</v>
      </c>
      <c r="C85" s="10">
        <f>C83-C84</f>
        <v>-109.375</v>
      </c>
      <c r="D85" s="10">
        <f>D83-D84</f>
        <v>-43.75</v>
      </c>
      <c r="E85" s="10">
        <f>E83-E84</f>
        <v>-69.3125</v>
      </c>
      <c r="F85" s="10">
        <f t="shared" ref="F85:G85" si="14">F83-F84</f>
        <v>-75.9375</v>
      </c>
      <c r="G85" s="36">
        <f t="shared" si="14"/>
        <v>-145.25</v>
      </c>
      <c r="I85" t="s">
        <v>50</v>
      </c>
    </row>
    <row r="86" spans="2:9" ht="13.5" thickBot="1" x14ac:dyDescent="0.25">
      <c r="B86" s="22" t="s">
        <v>25</v>
      </c>
      <c r="C86" s="328">
        <f>IF('Base Lease Info'!F12='Base Lease Info'!L76,C85*'Base Lease Info'!F8 + D85*'Base Lease Info'!G8 + E85*'Base Lease Info'!H8 + F85*'Base Lease Info'!H8,C85*'Base Lease Info'!F8 + D85*'Base Lease Info'!G8 + G85*'Base Lease Info'!J8)</f>
        <v>-101.9375</v>
      </c>
      <c r="D86" s="329"/>
      <c r="E86" s="329"/>
      <c r="F86" s="329"/>
      <c r="G86" s="330"/>
      <c r="I86" t="s">
        <v>51</v>
      </c>
    </row>
    <row r="87" spans="2:9" ht="13.5" thickTop="1" x14ac:dyDescent="0.2"/>
    <row r="88" spans="2:9" x14ac:dyDescent="0.2">
      <c r="B88" s="1" t="s">
        <v>59</v>
      </c>
    </row>
    <row r="90" spans="2:9" x14ac:dyDescent="0.2">
      <c r="B90" s="11"/>
      <c r="C90" s="11"/>
      <c r="D90" s="11"/>
      <c r="E90" s="11"/>
      <c r="F90" s="11"/>
      <c r="G90" s="11"/>
    </row>
    <row r="91" spans="2:9" x14ac:dyDescent="0.2">
      <c r="I91" s="25"/>
    </row>
    <row r="92" spans="2:9" x14ac:dyDescent="0.2">
      <c r="I92" s="25"/>
    </row>
  </sheetData>
  <mergeCells count="18">
    <mergeCell ref="B2:G2"/>
    <mergeCell ref="B48:G48"/>
    <mergeCell ref="C49:D49"/>
    <mergeCell ref="C50:G50"/>
    <mergeCell ref="C51:G51"/>
    <mergeCell ref="C5:G5"/>
    <mergeCell ref="C4:G4"/>
    <mergeCell ref="C43:G43"/>
    <mergeCell ref="C14:G14"/>
    <mergeCell ref="C13:G13"/>
    <mergeCell ref="C6:G6"/>
    <mergeCell ref="C3:D3"/>
    <mergeCell ref="C73:E73"/>
    <mergeCell ref="C30:E30"/>
    <mergeCell ref="C56:G56"/>
    <mergeCell ref="C57:G57"/>
    <mergeCell ref="C86:G86"/>
    <mergeCell ref="C52:G52"/>
  </mergeCells>
  <phoneticPr fontId="0" type="noConversion"/>
  <pageMargins left="0.75" right="0.75" top="1" bottom="1" header="0.5" footer="0.5"/>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77"/>
  <sheetViews>
    <sheetView showGridLines="0" zoomScale="115" zoomScaleNormal="115" workbookViewId="0">
      <selection activeCell="F150" sqref="F150"/>
    </sheetView>
  </sheetViews>
  <sheetFormatPr defaultRowHeight="12.75" x14ac:dyDescent="0.2"/>
  <cols>
    <col min="1" max="1" width="2.42578125" customWidth="1"/>
    <col min="2" max="2" width="38.85546875" customWidth="1"/>
    <col min="3" max="3" width="12.140625" bestFit="1" customWidth="1"/>
    <col min="4" max="7" width="9.7109375" customWidth="1"/>
    <col min="8" max="8" width="3.42578125" customWidth="1"/>
    <col min="9" max="9" width="59.28515625" customWidth="1"/>
  </cols>
  <sheetData>
    <row r="1" spans="2:10" ht="13.5" thickBot="1" x14ac:dyDescent="0.25"/>
    <row r="2" spans="2:10" ht="17.25" thickTop="1" thickBot="1" x14ac:dyDescent="0.3">
      <c r="B2" s="334" t="s">
        <v>102</v>
      </c>
      <c r="C2" s="335"/>
      <c r="D2" s="335"/>
      <c r="E2" s="335"/>
      <c r="F2" s="335"/>
      <c r="G2" s="336"/>
      <c r="I2" s="7"/>
    </row>
    <row r="3" spans="2:10" ht="13.5" thickTop="1" x14ac:dyDescent="0.2">
      <c r="B3" s="68" t="s">
        <v>14</v>
      </c>
      <c r="C3" s="337"/>
      <c r="D3" s="337"/>
      <c r="E3" s="79"/>
      <c r="F3" s="79"/>
      <c r="G3" s="69"/>
      <c r="I3" s="7" t="s">
        <v>18</v>
      </c>
    </row>
    <row r="4" spans="2:10" x14ac:dyDescent="0.2">
      <c r="B4" s="17" t="s">
        <v>31</v>
      </c>
      <c r="C4" s="331">
        <f>'Base Lease Info'!F21</f>
        <v>150</v>
      </c>
      <c r="D4" s="332"/>
      <c r="E4" s="332"/>
      <c r="F4" s="332"/>
      <c r="G4" s="333"/>
      <c r="I4" s="7"/>
    </row>
    <row r="5" spans="2:10" x14ac:dyDescent="0.2">
      <c r="B5" s="17" t="s">
        <v>10</v>
      </c>
      <c r="C5" s="338">
        <f>'Base Lease Info'!F10</f>
        <v>125</v>
      </c>
      <c r="D5" s="339"/>
      <c r="E5" s="339"/>
      <c r="F5" s="339"/>
      <c r="G5" s="340"/>
      <c r="H5" s="15"/>
      <c r="I5" s="11"/>
    </row>
    <row r="6" spans="2:10" x14ac:dyDescent="0.2">
      <c r="B6" s="17" t="s">
        <v>32</v>
      </c>
      <c r="C6" s="331" t="str">
        <f>'Base Lease Info'!F11</f>
        <v>No</v>
      </c>
      <c r="D6" s="332"/>
      <c r="E6" s="332"/>
      <c r="F6" s="332"/>
      <c r="G6" s="333"/>
      <c r="H6" s="15"/>
      <c r="I6" s="11" t="s">
        <v>62</v>
      </c>
    </row>
    <row r="7" spans="2:10" x14ac:dyDescent="0.2">
      <c r="B7" s="17"/>
      <c r="C7" s="12" t="s">
        <v>22</v>
      </c>
      <c r="D7" s="12" t="s">
        <v>23</v>
      </c>
      <c r="E7" s="12" t="s">
        <v>73</v>
      </c>
      <c r="F7" s="12" t="s">
        <v>74</v>
      </c>
      <c r="G7" s="35" t="s">
        <v>76</v>
      </c>
      <c r="H7" s="15"/>
      <c r="I7" s="11"/>
    </row>
    <row r="8" spans="2:10" x14ac:dyDescent="0.2">
      <c r="B8" s="17" t="s">
        <v>28</v>
      </c>
      <c r="C8" s="13">
        <f>SUM('Base Lease Info'!F25:F27) + $C5</f>
        <v>600</v>
      </c>
      <c r="D8" s="13">
        <f>SUM('Base Lease Info'!G25:G27) + $C5</f>
        <v>405</v>
      </c>
      <c r="E8" s="13">
        <f>SUM('Base Lease Info'!H25:H27) + $C5</f>
        <v>395</v>
      </c>
      <c r="F8" s="13">
        <f>SUM('Base Lease Info'!I25:I27) + $C5</f>
        <v>400</v>
      </c>
      <c r="G8" s="70">
        <f>E8+F8</f>
        <v>795</v>
      </c>
      <c r="H8" s="15"/>
      <c r="I8" s="11" t="s">
        <v>54</v>
      </c>
    </row>
    <row r="9" spans="2:10" x14ac:dyDescent="0.2">
      <c r="B9" s="17" t="s">
        <v>11</v>
      </c>
      <c r="C9" s="30">
        <f>'Base Lease Info'!F16</f>
        <v>475</v>
      </c>
      <c r="D9" s="30">
        <f>'Base Lease Info'!G16</f>
        <v>325</v>
      </c>
      <c r="E9" s="30">
        <f>'Base Lease Info'!H16</f>
        <v>325</v>
      </c>
      <c r="F9" s="30">
        <f>'Base Lease Info'!I16</f>
        <v>250</v>
      </c>
      <c r="G9" s="70">
        <f>E9+F9</f>
        <v>575</v>
      </c>
      <c r="I9" s="11" t="s">
        <v>38</v>
      </c>
      <c r="J9" s="1"/>
    </row>
    <row r="10" spans="2:10" x14ac:dyDescent="0.2">
      <c r="B10" s="18" t="s">
        <v>12</v>
      </c>
      <c r="C10" s="31">
        <f>'Base Lease Info'!F17</f>
        <v>0.35</v>
      </c>
      <c r="D10" s="31">
        <f>'Base Lease Info'!G17</f>
        <v>0.4</v>
      </c>
      <c r="E10" s="31">
        <f>'Base Lease Info'!H17</f>
        <v>0.35</v>
      </c>
      <c r="F10" s="31">
        <f>'Base Lease Info'!I17</f>
        <v>0.35</v>
      </c>
      <c r="G10" s="71">
        <f>E10*(E17/G17) + F10*(F17/G17)</f>
        <v>0.35</v>
      </c>
      <c r="H10" s="15"/>
      <c r="I10" s="11" t="s">
        <v>39</v>
      </c>
    </row>
    <row r="11" spans="2:10" x14ac:dyDescent="0.2">
      <c r="B11" s="18" t="s">
        <v>55</v>
      </c>
      <c r="C11" s="10">
        <f>IF($C6='Base Lease Info'!$J$75,(C19+C20-C9)*C10,IF((C19 + C20) &gt; C9,(C19+C20-C9)*C10,0))</f>
        <v>43.75</v>
      </c>
      <c r="D11" s="10">
        <f>IF($C6='Base Lease Info'!$J$75,(D19+D20-D9)*D10,IF((D19 + D20) &gt; D9,(D19+D20-D9)*D10,0))</f>
        <v>38</v>
      </c>
      <c r="E11" s="10">
        <f>IF($C6='Base Lease Info'!$J$75,(E19+E20-E9)*E10,IF((E19 + E20) &gt; E9,(E19+E20-E9)*E10,0))</f>
        <v>1.5166666666666599</v>
      </c>
      <c r="F11" s="10">
        <f>IF($C6='Base Lease Info'!$J$75,(F19+F20-F9)*F10,IF((F19 + F20) &gt; F9,(F19+F20-F9)*F10,0))</f>
        <v>26.833333333333339</v>
      </c>
      <c r="G11" s="36">
        <f>IF($C6='Base Lease Info'!$J$75,(G19+G20-G9)*G10,IF((G19 + G20) &gt; G9,(G19+G20-G9)*G10,0))</f>
        <v>28.349999999999998</v>
      </c>
      <c r="H11" s="15"/>
      <c r="I11" s="11" t="s">
        <v>57</v>
      </c>
    </row>
    <row r="12" spans="2:10" ht="15.75" x14ac:dyDescent="0.25">
      <c r="B12" s="19" t="s">
        <v>56</v>
      </c>
      <c r="C12" s="9">
        <f>IF($C6='Base Lease Info'!$J$75,$C5+(C19+C20-C9)*C10,IF((C19 + C20) &gt; C9,$C5+(C19+C20-C9)*C10,$C5))</f>
        <v>168.75</v>
      </c>
      <c r="D12" s="9">
        <f>IF($C6='Base Lease Info'!$J$75,$C5+(D19+D20-D9)*D10,IF((D19 + D20) &gt; D9,$C5+(D19+D20-D9)*D10,$C5))</f>
        <v>163</v>
      </c>
      <c r="E12" s="9">
        <f>IF($C6='Base Lease Info'!$J$75,$C5/2+(E19+E20-E9)*E10,IF((E19 + E20) &gt; E9,$C5/2+(E19+E20-E9)*E10,$C5/2))</f>
        <v>64.016666666666666</v>
      </c>
      <c r="F12" s="9">
        <f>IF($C6='Base Lease Info'!$J$75,$C5/2+(F19+F20-F9)*F10,IF((F19 + F20) &gt; F9,$C5/2+(F19+F20-F9)*F10,$C5/2))</f>
        <v>89.333333333333343</v>
      </c>
      <c r="G12" s="72">
        <f>IF($C6='Base Lease Info'!$J$75,$C5+(G19+G20-G9)*G10,IF((G19 + G20) &gt; G9,$C5+(G19+G20-G9)*G10,$C5))</f>
        <v>153.35</v>
      </c>
      <c r="I12" t="s">
        <v>40</v>
      </c>
    </row>
    <row r="13" spans="2:10" ht="15.75" x14ac:dyDescent="0.25">
      <c r="B13" s="19" t="s">
        <v>58</v>
      </c>
      <c r="C13" s="323">
        <f>IF('Base Lease Info'!F12='Base Lease Info'!L75,C12*'Base Lease Info'!F8 + D12*'Base Lease Info'!G8 + G12*'Base Lease Info'!J8, C12*'Base Lease Info'!F8 + D12*'Base Lease Info'!G8 + E12*'Base Lease Info'!H8 + F12*'Base Lease Info'!H8)</f>
        <v>163.46250000000001</v>
      </c>
      <c r="D13" s="323"/>
      <c r="E13" s="323"/>
      <c r="F13" s="323"/>
      <c r="G13" s="324"/>
      <c r="I13" t="s">
        <v>48</v>
      </c>
    </row>
    <row r="14" spans="2:10" x14ac:dyDescent="0.2">
      <c r="B14" s="17" t="s">
        <v>19</v>
      </c>
      <c r="C14" s="325">
        <f>C13/$C4-1</f>
        <v>8.9749999999999996E-2</v>
      </c>
      <c r="D14" s="326"/>
      <c r="E14" s="326"/>
      <c r="F14" s="326"/>
      <c r="G14" s="327"/>
      <c r="I14" t="s">
        <v>49</v>
      </c>
    </row>
    <row r="15" spans="2:10" x14ac:dyDescent="0.2">
      <c r="B15" s="17"/>
      <c r="C15" s="8"/>
      <c r="D15" s="8"/>
      <c r="E15" s="8"/>
      <c r="F15" s="8"/>
      <c r="G15" s="73"/>
    </row>
    <row r="16" spans="2:10" x14ac:dyDescent="0.2">
      <c r="B16" s="20" t="s">
        <v>20</v>
      </c>
      <c r="C16" s="12" t="s">
        <v>22</v>
      </c>
      <c r="D16" s="12" t="s">
        <v>23</v>
      </c>
      <c r="E16" s="12" t="s">
        <v>73</v>
      </c>
      <c r="F16" s="12" t="s">
        <v>74</v>
      </c>
      <c r="G16" s="35" t="s">
        <v>76</v>
      </c>
    </row>
    <row r="17" spans="2:9" x14ac:dyDescent="0.2">
      <c r="B17" s="17" t="s">
        <v>0</v>
      </c>
      <c r="C17" s="32">
        <f>'Base Lease Info'!F4</f>
        <v>150</v>
      </c>
      <c r="D17" s="32">
        <f>'Base Lease Info'!G4</f>
        <v>45</v>
      </c>
      <c r="E17" s="32">
        <f>'Base Lease Info'!H4</f>
        <v>65</v>
      </c>
      <c r="F17" s="32">
        <f>'Base Lease Info'!I4</f>
        <v>35</v>
      </c>
      <c r="G17" s="74">
        <f>E17+F17</f>
        <v>100</v>
      </c>
      <c r="I17" t="s">
        <v>26</v>
      </c>
    </row>
    <row r="18" spans="2:9" x14ac:dyDescent="0.2">
      <c r="B18" s="17" t="s">
        <v>21</v>
      </c>
      <c r="C18" s="89">
        <f>'Base Lease Info'!B46</f>
        <v>4</v>
      </c>
      <c r="D18" s="89">
        <f>'Base Lease Info'!C46</f>
        <v>9.3333333333333339</v>
      </c>
      <c r="E18" s="89">
        <f>'Base Lease Info'!E46</f>
        <v>5.0666666666666664</v>
      </c>
      <c r="F18" s="26">
        <f>D18</f>
        <v>9.3333333333333339</v>
      </c>
      <c r="G18" s="81">
        <f>E18*(E17/G17) + F18*(F17/G17)</f>
        <v>6.5600000000000005</v>
      </c>
      <c r="I18" t="s">
        <v>27</v>
      </c>
    </row>
    <row r="19" spans="2:9" x14ac:dyDescent="0.2">
      <c r="B19" s="17" t="s">
        <v>5</v>
      </c>
      <c r="C19" s="3">
        <f>C17*C18</f>
        <v>600</v>
      </c>
      <c r="D19" s="3">
        <f>D17*D18</f>
        <v>420</v>
      </c>
      <c r="E19" s="3">
        <f t="shared" ref="E19:F19" si="0">E17*E18</f>
        <v>329.33333333333331</v>
      </c>
      <c r="F19" s="3">
        <f t="shared" si="0"/>
        <v>326.66666666666669</v>
      </c>
      <c r="G19" s="46">
        <f>G17*G18</f>
        <v>656</v>
      </c>
      <c r="I19" t="s">
        <v>41</v>
      </c>
    </row>
    <row r="20" spans="2:9" x14ac:dyDescent="0.2">
      <c r="B20" s="17" t="s">
        <v>13</v>
      </c>
      <c r="C20" s="3">
        <f>IF('Base Lease Info'!$F6='Base Lease Info'!$J$75,$C30,0)</f>
        <v>0</v>
      </c>
      <c r="D20" s="3">
        <f>IF('Base Lease Info'!$F6='Base Lease Info'!$J$75,$C30,0)</f>
        <v>0</v>
      </c>
      <c r="E20" s="3">
        <f>IF('Base Lease Info'!$F6='Base Lease Info'!$J$75,$C30,0)</f>
        <v>0</v>
      </c>
      <c r="F20" s="3">
        <f>IF('Base Lease Info'!$F6='Base Lease Info'!$J$75,$C30,0)</f>
        <v>0</v>
      </c>
      <c r="G20" s="39">
        <f>IF('Base Lease Info'!$F6='Base Lease Info'!$J$75,$C30,0)</f>
        <v>0</v>
      </c>
      <c r="I20" s="25" t="s">
        <v>63</v>
      </c>
    </row>
    <row r="21" spans="2:9" x14ac:dyDescent="0.2">
      <c r="B21" s="27" t="s">
        <v>107</v>
      </c>
      <c r="C21" s="6">
        <f>'Base Lease Info'!E80</f>
        <v>0</v>
      </c>
      <c r="D21" s="6">
        <f>'Base Lease Info'!F80</f>
        <v>0</v>
      </c>
      <c r="E21" s="6">
        <f>'Base Lease Info'!G80</f>
        <v>0</v>
      </c>
      <c r="F21" s="6">
        <f>'Base Lease Info'!H80</f>
        <v>0</v>
      </c>
      <c r="G21" s="38">
        <f>'Base Lease Info'!I80</f>
        <v>0</v>
      </c>
      <c r="I21" s="25"/>
    </row>
    <row r="22" spans="2:9" x14ac:dyDescent="0.2">
      <c r="B22" s="24" t="s">
        <v>43</v>
      </c>
      <c r="C22" s="14">
        <f>SUM(C19:C21)</f>
        <v>600</v>
      </c>
      <c r="D22" s="14">
        <f t="shared" ref="D22:G22" si="1">SUM(D19:D21)</f>
        <v>420</v>
      </c>
      <c r="E22" s="14">
        <f t="shared" si="1"/>
        <v>329.33333333333331</v>
      </c>
      <c r="F22" s="14">
        <f t="shared" si="1"/>
        <v>326.66666666666669</v>
      </c>
      <c r="G22" s="76">
        <f t="shared" si="1"/>
        <v>656</v>
      </c>
      <c r="I22" t="s">
        <v>42</v>
      </c>
    </row>
    <row r="23" spans="2:9" x14ac:dyDescent="0.2">
      <c r="B23" s="24"/>
      <c r="C23" s="14"/>
      <c r="D23" s="14"/>
      <c r="E23" s="14"/>
      <c r="F23" s="14"/>
      <c r="G23" s="76"/>
    </row>
    <row r="24" spans="2:9" x14ac:dyDescent="0.2">
      <c r="B24" s="40" t="s">
        <v>79</v>
      </c>
      <c r="C24" s="14"/>
      <c r="D24" s="14"/>
      <c r="E24" s="14"/>
      <c r="F24" s="14"/>
      <c r="G24" s="76"/>
    </row>
    <row r="25" spans="2:9" x14ac:dyDescent="0.2">
      <c r="B25" s="27" t="s">
        <v>81</v>
      </c>
      <c r="C25" s="95">
        <f>'Base Lease Info'!E83</f>
        <v>0.8</v>
      </c>
      <c r="D25" s="96"/>
      <c r="E25" s="96"/>
      <c r="F25" s="4"/>
      <c r="G25" s="37"/>
    </row>
    <row r="26" spans="2:9" x14ac:dyDescent="0.2">
      <c r="B26" s="27" t="s">
        <v>80</v>
      </c>
      <c r="C26" s="95">
        <f>'Base Lease Info'!E84</f>
        <v>0.5</v>
      </c>
      <c r="D26" s="95">
        <f>'Base Lease Info'!F84</f>
        <v>0.4</v>
      </c>
      <c r="E26" s="95">
        <f>'Base Lease Info'!G84</f>
        <v>9.9999999999999978E-2</v>
      </c>
      <c r="F26" s="3"/>
      <c r="G26" s="39"/>
    </row>
    <row r="27" spans="2:9" x14ac:dyDescent="0.2">
      <c r="B27" s="27" t="s">
        <v>82</v>
      </c>
      <c r="C27" s="93">
        <f>'Base Lease Info'!E85</f>
        <v>3.7</v>
      </c>
      <c r="D27" s="93">
        <f>'Base Lease Info'!F85</f>
        <v>8.4</v>
      </c>
      <c r="E27" s="93">
        <f>'Base Lease Info'!G85</f>
        <v>5.5</v>
      </c>
      <c r="F27" s="3"/>
      <c r="G27" s="39"/>
    </row>
    <row r="28" spans="2:9" x14ac:dyDescent="0.2">
      <c r="B28" s="27" t="s">
        <v>83</v>
      </c>
      <c r="C28" s="97">
        <f>'Base Lease Info'!E86</f>
        <v>155</v>
      </c>
      <c r="D28" s="97">
        <f>'Base Lease Info'!F86</f>
        <v>48</v>
      </c>
      <c r="E28" s="97">
        <f>'Base Lease Info'!G86</f>
        <v>60</v>
      </c>
      <c r="F28" s="28"/>
      <c r="G28" s="77"/>
    </row>
    <row r="29" spans="2:9" x14ac:dyDescent="0.2">
      <c r="B29" s="27" t="s">
        <v>84</v>
      </c>
      <c r="C29" s="94">
        <f>IF(C18&lt;C27,(C27-C18)*C28*0.85,0)</f>
        <v>0</v>
      </c>
      <c r="D29" s="94">
        <f t="shared" ref="D29:E29" si="2">IF(D18&lt;D27,(D27-D18)*D28*0.85,0)</f>
        <v>0</v>
      </c>
      <c r="E29" s="94">
        <f t="shared" si="2"/>
        <v>22.100000000000012</v>
      </c>
      <c r="F29" s="28"/>
      <c r="G29" s="77"/>
    </row>
    <row r="30" spans="2:9" x14ac:dyDescent="0.2">
      <c r="B30" s="27" t="s">
        <v>85</v>
      </c>
      <c r="C30" s="320">
        <f>(C29*C26+D29*D26+E29*E26)*C25</f>
        <v>1.7680000000000007</v>
      </c>
      <c r="D30" s="321"/>
      <c r="E30" s="322"/>
      <c r="F30" s="3"/>
      <c r="G30" s="39"/>
    </row>
    <row r="31" spans="2:9" x14ac:dyDescent="0.2">
      <c r="B31" s="27"/>
      <c r="C31" s="29"/>
      <c r="D31" s="3"/>
      <c r="E31" s="3"/>
      <c r="F31" s="3"/>
      <c r="G31" s="39"/>
    </row>
    <row r="32" spans="2:9" x14ac:dyDescent="0.2">
      <c r="B32" s="17"/>
      <c r="C32" s="2"/>
      <c r="D32" s="2"/>
      <c r="E32" s="2"/>
      <c r="F32" s="2"/>
      <c r="G32" s="78"/>
    </row>
    <row r="33" spans="2:9" x14ac:dyDescent="0.2">
      <c r="B33" s="16" t="s">
        <v>1</v>
      </c>
      <c r="C33" s="2"/>
      <c r="D33" s="2"/>
      <c r="E33" s="2"/>
      <c r="F33" s="2"/>
      <c r="G33" s="78"/>
    </row>
    <row r="34" spans="2:9" x14ac:dyDescent="0.2">
      <c r="B34" s="17" t="s">
        <v>2</v>
      </c>
      <c r="C34" s="3">
        <f>'Base Lease Info'!F25</f>
        <v>275</v>
      </c>
      <c r="D34" s="3">
        <f>'Base Lease Info'!G25</f>
        <v>150</v>
      </c>
      <c r="E34" s="3">
        <f>'Base Lease Info'!H25</f>
        <v>140</v>
      </c>
      <c r="F34" s="3">
        <f>'Base Lease Info'!I25</f>
        <v>150</v>
      </c>
      <c r="G34" s="39">
        <f>E34+F34</f>
        <v>290</v>
      </c>
      <c r="I34" t="s">
        <v>45</v>
      </c>
    </row>
    <row r="35" spans="2:9" x14ac:dyDescent="0.2">
      <c r="B35" s="17" t="s">
        <v>6</v>
      </c>
      <c r="C35" s="3">
        <f>'Base Lease Info'!F26</f>
        <v>140</v>
      </c>
      <c r="D35" s="3">
        <f>'Base Lease Info'!G26</f>
        <v>90</v>
      </c>
      <c r="E35" s="3">
        <f>'Base Lease Info'!H26</f>
        <v>90</v>
      </c>
      <c r="F35" s="3">
        <f>'Base Lease Info'!I26</f>
        <v>85</v>
      </c>
      <c r="G35" s="39">
        <f t="shared" ref="G35:G36" si="3">E35+F35</f>
        <v>175</v>
      </c>
      <c r="I35" t="s">
        <v>46</v>
      </c>
    </row>
    <row r="36" spans="2:9" x14ac:dyDescent="0.2">
      <c r="B36" s="17" t="s">
        <v>3</v>
      </c>
      <c r="C36" s="3">
        <f>'Base Lease Info'!F27</f>
        <v>60</v>
      </c>
      <c r="D36" s="3">
        <f>'Base Lease Info'!G27</f>
        <v>40</v>
      </c>
      <c r="E36" s="3">
        <f>'Base Lease Info'!H27</f>
        <v>40</v>
      </c>
      <c r="F36" s="3">
        <f>'Base Lease Info'!I27</f>
        <v>40</v>
      </c>
      <c r="G36" s="39">
        <f t="shared" si="3"/>
        <v>80</v>
      </c>
      <c r="I36" t="s">
        <v>47</v>
      </c>
    </row>
    <row r="37" spans="2:9" x14ac:dyDescent="0.2">
      <c r="B37" s="17" t="s">
        <v>4</v>
      </c>
      <c r="C37" s="6">
        <f>$C12</f>
        <v>168.75</v>
      </c>
      <c r="D37" s="6">
        <f>D12</f>
        <v>163</v>
      </c>
      <c r="E37" s="6">
        <f t="shared" ref="E37:F37" si="4">E12</f>
        <v>64.016666666666666</v>
      </c>
      <c r="F37" s="6">
        <f t="shared" si="4"/>
        <v>89.333333333333343</v>
      </c>
      <c r="G37" s="38">
        <f>G12</f>
        <v>153.35</v>
      </c>
      <c r="I37" t="s">
        <v>60</v>
      </c>
    </row>
    <row r="38" spans="2:9" x14ac:dyDescent="0.2">
      <c r="B38" s="24" t="s">
        <v>44</v>
      </c>
      <c r="C38" s="14">
        <f>SUM(C34:C37)</f>
        <v>643.75</v>
      </c>
      <c r="D38" s="14">
        <f>SUM(D34:D37)</f>
        <v>443</v>
      </c>
      <c r="E38" s="14">
        <f t="shared" ref="E38" si="5">SUM(E34:E37)</f>
        <v>334.01666666666665</v>
      </c>
      <c r="F38" s="14">
        <f>SUM(F34:F37)</f>
        <v>364.33333333333337</v>
      </c>
      <c r="G38" s="39">
        <f>SUM(G34:G37)</f>
        <v>698.35</v>
      </c>
      <c r="I38" t="s">
        <v>61</v>
      </c>
    </row>
    <row r="39" spans="2:9" x14ac:dyDescent="0.2">
      <c r="B39" s="17"/>
      <c r="C39" s="2"/>
      <c r="D39" s="2"/>
      <c r="E39" s="2"/>
      <c r="F39" s="2"/>
      <c r="G39" s="78"/>
    </row>
    <row r="40" spans="2:9" x14ac:dyDescent="0.2">
      <c r="B40" s="18" t="s">
        <v>8</v>
      </c>
      <c r="C40" s="3">
        <f>C22</f>
        <v>600</v>
      </c>
      <c r="D40" s="3">
        <f t="shared" ref="D40:G40" si="6">D22</f>
        <v>420</v>
      </c>
      <c r="E40" s="3">
        <f t="shared" si="6"/>
        <v>329.33333333333331</v>
      </c>
      <c r="F40" s="3">
        <f t="shared" si="6"/>
        <v>326.66666666666669</v>
      </c>
      <c r="G40" s="39">
        <f t="shared" si="6"/>
        <v>656</v>
      </c>
      <c r="I40" s="25" t="s">
        <v>67</v>
      </c>
    </row>
    <row r="41" spans="2:9" x14ac:dyDescent="0.2">
      <c r="B41" s="17" t="s">
        <v>9</v>
      </c>
      <c r="C41" s="5">
        <f>SUM(C34:C37)</f>
        <v>643.75</v>
      </c>
      <c r="D41" s="5">
        <f>SUM(D34:D37)</f>
        <v>443</v>
      </c>
      <c r="E41" s="5">
        <f t="shared" ref="E41" si="7">SUM(E34:E37)</f>
        <v>334.01666666666665</v>
      </c>
      <c r="F41" s="5">
        <f>SUM(F34:F37)</f>
        <v>364.33333333333337</v>
      </c>
      <c r="G41" s="39">
        <f>SUM(G34:G37)</f>
        <v>698.35</v>
      </c>
    </row>
    <row r="42" spans="2:9" x14ac:dyDescent="0.2">
      <c r="B42" s="21" t="s">
        <v>7</v>
      </c>
      <c r="C42" s="10">
        <f>C40-C41</f>
        <v>-43.75</v>
      </c>
      <c r="D42" s="10">
        <f>D40-D41</f>
        <v>-23</v>
      </c>
      <c r="E42" s="10">
        <f>E40-E41</f>
        <v>-4.6833333333333371</v>
      </c>
      <c r="F42" s="10">
        <f t="shared" ref="F42:G42" si="8">F40-F41</f>
        <v>-37.666666666666686</v>
      </c>
      <c r="G42" s="36">
        <f t="shared" si="8"/>
        <v>-42.350000000000023</v>
      </c>
      <c r="I42" t="s">
        <v>50</v>
      </c>
    </row>
    <row r="43" spans="2:9" ht="13.5" thickBot="1" x14ac:dyDescent="0.25">
      <c r="B43" s="22" t="s">
        <v>25</v>
      </c>
      <c r="C43" s="328">
        <f>IF('Base Lease Info'!F12='Base Lease Info'!L76,C42*'Base Lease Info'!F8 + D42*'Base Lease Info'!G8 + E42*'Base Lease Info'!H8 + F42*'Base Lease Info'!H8,C42*'Base Lease Info'!F8 + D42*'Base Lease Info'!G8 + G42*'Base Lease Info'!J8)</f>
        <v>-38.212500000000006</v>
      </c>
      <c r="D43" s="329"/>
      <c r="E43" s="329"/>
      <c r="F43" s="329"/>
      <c r="G43" s="330"/>
      <c r="I43" t="s">
        <v>51</v>
      </c>
    </row>
    <row r="44" spans="2:9" ht="13.5" thickTop="1" x14ac:dyDescent="0.2"/>
    <row r="45" spans="2:9" x14ac:dyDescent="0.2">
      <c r="B45" s="1" t="s">
        <v>59</v>
      </c>
    </row>
    <row r="47" spans="2:9" ht="13.5" customHeight="1" thickBot="1" x14ac:dyDescent="0.25"/>
    <row r="48" spans="2:9" ht="17.25" thickTop="1" thickBot="1" x14ac:dyDescent="0.3">
      <c r="B48" s="334" t="s">
        <v>103</v>
      </c>
      <c r="C48" s="335"/>
      <c r="D48" s="335"/>
      <c r="E48" s="335"/>
      <c r="F48" s="335"/>
      <c r="G48" s="336"/>
      <c r="I48" s="7"/>
    </row>
    <row r="49" spans="2:11" ht="13.5" thickTop="1" x14ac:dyDescent="0.2">
      <c r="B49" s="68" t="s">
        <v>14</v>
      </c>
      <c r="C49" s="337"/>
      <c r="D49" s="337"/>
      <c r="E49" s="79"/>
      <c r="F49" s="79"/>
      <c r="G49" s="69"/>
      <c r="I49" s="7" t="s">
        <v>18</v>
      </c>
    </row>
    <row r="50" spans="2:11" x14ac:dyDescent="0.2">
      <c r="B50" s="17" t="s">
        <v>31</v>
      </c>
      <c r="C50" s="331">
        <f>'Base Lease Info'!F21</f>
        <v>150</v>
      </c>
      <c r="D50" s="332"/>
      <c r="E50" s="332"/>
      <c r="F50" s="332"/>
      <c r="G50" s="333"/>
      <c r="I50" s="7"/>
    </row>
    <row r="51" spans="2:11" x14ac:dyDescent="0.2">
      <c r="B51" s="17" t="s">
        <v>10</v>
      </c>
      <c r="C51" s="338">
        <f>'Base Lease Info'!F10</f>
        <v>125</v>
      </c>
      <c r="D51" s="339"/>
      <c r="E51" s="339"/>
      <c r="F51" s="339"/>
      <c r="G51" s="340"/>
      <c r="H51" s="15"/>
      <c r="I51" s="11"/>
    </row>
    <row r="52" spans="2:11" x14ac:dyDescent="0.2">
      <c r="B52" s="17" t="s">
        <v>32</v>
      </c>
      <c r="C52" s="331" t="str">
        <f>'Base Lease Info'!F11</f>
        <v>No</v>
      </c>
      <c r="D52" s="332"/>
      <c r="E52" s="332"/>
      <c r="F52" s="332"/>
      <c r="G52" s="333"/>
      <c r="H52" s="15"/>
      <c r="I52" s="11" t="s">
        <v>62</v>
      </c>
    </row>
    <row r="53" spans="2:11" x14ac:dyDescent="0.2">
      <c r="B53" s="27"/>
      <c r="C53" s="12" t="s">
        <v>22</v>
      </c>
      <c r="D53" s="12" t="s">
        <v>23</v>
      </c>
      <c r="E53" s="12" t="s">
        <v>73</v>
      </c>
      <c r="F53" s="12" t="s">
        <v>74</v>
      </c>
      <c r="G53" s="35" t="s">
        <v>76</v>
      </c>
      <c r="H53" s="15"/>
      <c r="I53" s="11"/>
    </row>
    <row r="54" spans="2:11" x14ac:dyDescent="0.2">
      <c r="B54" s="80" t="s">
        <v>12</v>
      </c>
      <c r="C54" s="31">
        <f>'Base Lease Info'!F17</f>
        <v>0.35</v>
      </c>
      <c r="D54" s="31">
        <f>'Base Lease Info'!G17</f>
        <v>0.4</v>
      </c>
      <c r="E54" s="31">
        <f>'Base Lease Info'!H17</f>
        <v>0.35</v>
      </c>
      <c r="F54" s="31">
        <f>'Base Lease Info'!I17</f>
        <v>0.35</v>
      </c>
      <c r="G54" s="71">
        <f>E54*(E60/G60) + F54*(F60/G60)</f>
        <v>0.35</v>
      </c>
      <c r="H54" s="15"/>
      <c r="I54" s="11" t="s">
        <v>39</v>
      </c>
    </row>
    <row r="55" spans="2:11" ht="15.75" x14ac:dyDescent="0.25">
      <c r="B55" s="19" t="s">
        <v>91</v>
      </c>
      <c r="C55" s="9">
        <f>IF($C$52='Base Lease Info'!$J$75,C83*C54,IF(C83*C54&gt;$C$51,C83*C54,$C$51))</f>
        <v>210</v>
      </c>
      <c r="D55" s="9">
        <f>IF($C$52='Base Lease Info'!$J$75,D83*D54,IF(D83*D54&gt;$C$51,D83*D54,$C$51))</f>
        <v>168</v>
      </c>
      <c r="E55" s="9">
        <f>IF($C$52='Base Lease Info'!$J$75,E83*E54,IF(E83*E54&gt;$C$51/2,E83*E54,$C$51/2))</f>
        <v>115.26666666666665</v>
      </c>
      <c r="F55" s="9">
        <f>IF($C$52='Base Lease Info'!$J$75,F83*F54,IF(F83*F54&gt;$C$51/2,F83*F54,$C$51/2))</f>
        <v>114.33333333333333</v>
      </c>
      <c r="G55" s="72">
        <f>IF($C$52='Base Lease Info'!$J$75,G83*G54,IF(G83*G54&gt;$C$51,G83*G54,$C$51))</f>
        <v>229.6</v>
      </c>
      <c r="I55" t="s">
        <v>40</v>
      </c>
    </row>
    <row r="56" spans="2:11" ht="15.75" x14ac:dyDescent="0.25">
      <c r="B56" s="19" t="s">
        <v>58</v>
      </c>
      <c r="C56" s="323">
        <f>IF('Base Lease Info'!F12='Base Lease Info'!L75,C55*'Base Lease Info'!F8 + D55*'Base Lease Info'!G8 + G55*'Base Lease Info'!J8, C55*'Base Lease Info'!F8 + D55*'Base Lease Info'!G8 + E55*'Base Lease Info'!H8 + F55*'Base Lease Info'!H8)</f>
        <v>204.4</v>
      </c>
      <c r="D56" s="323"/>
      <c r="E56" s="323"/>
      <c r="F56" s="323"/>
      <c r="G56" s="324"/>
      <c r="I56" t="s">
        <v>48</v>
      </c>
    </row>
    <row r="57" spans="2:11" x14ac:dyDescent="0.2">
      <c r="B57" s="17" t="s">
        <v>19</v>
      </c>
      <c r="C57" s="325">
        <f>C56/$C50-1</f>
        <v>0.36266666666666669</v>
      </c>
      <c r="D57" s="326"/>
      <c r="E57" s="326"/>
      <c r="F57" s="326"/>
      <c r="G57" s="327"/>
      <c r="I57" t="s">
        <v>49</v>
      </c>
    </row>
    <row r="58" spans="2:11" x14ac:dyDescent="0.2">
      <c r="B58" s="17"/>
      <c r="C58" s="8"/>
      <c r="D58" s="8"/>
      <c r="E58" s="8"/>
      <c r="F58" s="8"/>
      <c r="G58" s="73"/>
    </row>
    <row r="59" spans="2:11" x14ac:dyDescent="0.2">
      <c r="B59" s="20" t="s">
        <v>20</v>
      </c>
      <c r="C59" s="12" t="s">
        <v>22</v>
      </c>
      <c r="D59" s="12" t="s">
        <v>23</v>
      </c>
      <c r="E59" s="12" t="s">
        <v>73</v>
      </c>
      <c r="F59" s="12" t="s">
        <v>74</v>
      </c>
      <c r="G59" s="35" t="s">
        <v>76</v>
      </c>
    </row>
    <row r="60" spans="2:11" x14ac:dyDescent="0.2">
      <c r="B60" s="17" t="s">
        <v>0</v>
      </c>
      <c r="C60" s="32">
        <f>'Base Lease Info'!F4</f>
        <v>150</v>
      </c>
      <c r="D60" s="32">
        <f>'Base Lease Info'!G4</f>
        <v>45</v>
      </c>
      <c r="E60" s="32">
        <f>'Base Lease Info'!H4</f>
        <v>65</v>
      </c>
      <c r="F60" s="32">
        <f>'Base Lease Info'!I4</f>
        <v>35</v>
      </c>
      <c r="G60" s="74">
        <f>E60+F60</f>
        <v>100</v>
      </c>
      <c r="I60" t="s">
        <v>26</v>
      </c>
      <c r="K60" s="82"/>
    </row>
    <row r="61" spans="2:11" x14ac:dyDescent="0.2">
      <c r="B61" s="17" t="s">
        <v>21</v>
      </c>
      <c r="C61" s="89">
        <f>'Base Lease Info'!B46</f>
        <v>4</v>
      </c>
      <c r="D61" s="89">
        <f>'Base Lease Info'!C46</f>
        <v>9.3333333333333339</v>
      </c>
      <c r="E61" s="89">
        <f>'Base Lease Info'!E46</f>
        <v>5.0666666666666664</v>
      </c>
      <c r="F61" s="26">
        <f>D61</f>
        <v>9.3333333333333339</v>
      </c>
      <c r="G61" s="75">
        <f>E61*(E60/G60) + F61*(F60/G60)</f>
        <v>6.5600000000000005</v>
      </c>
      <c r="I61" t="s">
        <v>27</v>
      </c>
    </row>
    <row r="62" spans="2:11" x14ac:dyDescent="0.2">
      <c r="B62" s="17" t="s">
        <v>5</v>
      </c>
      <c r="C62" s="3">
        <f>C60*C61</f>
        <v>600</v>
      </c>
      <c r="D62" s="3">
        <f>D60*D61</f>
        <v>420</v>
      </c>
      <c r="E62" s="3">
        <f t="shared" ref="E62:F62" si="9">E60*E61</f>
        <v>329.33333333333331</v>
      </c>
      <c r="F62" s="3">
        <f t="shared" si="9"/>
        <v>326.66666666666669</v>
      </c>
      <c r="G62" s="46">
        <f>G60*G61</f>
        <v>656</v>
      </c>
      <c r="I62" t="s">
        <v>41</v>
      </c>
    </row>
    <row r="63" spans="2:11" x14ac:dyDescent="0.2">
      <c r="B63" s="17" t="s">
        <v>13</v>
      </c>
      <c r="C63" s="3">
        <f>IF('Base Lease Info'!$F6='Base Lease Info'!$J$75,$C73,0)</f>
        <v>0</v>
      </c>
      <c r="D63" s="3">
        <f>IF('Base Lease Info'!$F6='Base Lease Info'!$J$75,$C73,0)</f>
        <v>0</v>
      </c>
      <c r="E63" s="3">
        <f>IF('Base Lease Info'!$F6='Base Lease Info'!$J$75,$C73,0)</f>
        <v>0</v>
      </c>
      <c r="F63" s="3">
        <f>IF('Base Lease Info'!$F6='Base Lease Info'!$J$75,$C73,0)</f>
        <v>0</v>
      </c>
      <c r="G63" s="39">
        <f>IF('Base Lease Info'!$F6='Base Lease Info'!$J$75,$C73,0)</f>
        <v>0</v>
      </c>
      <c r="I63" s="25" t="s">
        <v>63</v>
      </c>
    </row>
    <row r="64" spans="2:11" x14ac:dyDescent="0.2">
      <c r="B64" s="27" t="s">
        <v>107</v>
      </c>
      <c r="C64" s="6">
        <f>'Base Lease Info'!E80</f>
        <v>0</v>
      </c>
      <c r="D64" s="6">
        <f>'Base Lease Info'!F80</f>
        <v>0</v>
      </c>
      <c r="E64" s="6">
        <f>'Base Lease Info'!G80</f>
        <v>0</v>
      </c>
      <c r="F64" s="6">
        <f>'Base Lease Info'!H80</f>
        <v>0</v>
      </c>
      <c r="G64" s="38">
        <f>'Base Lease Info'!I80</f>
        <v>0</v>
      </c>
      <c r="I64" s="25"/>
    </row>
    <row r="65" spans="2:9" x14ac:dyDescent="0.2">
      <c r="B65" s="24" t="s">
        <v>43</v>
      </c>
      <c r="C65" s="14">
        <f>SUM(C62:C64)</f>
        <v>600</v>
      </c>
      <c r="D65" s="14">
        <f t="shared" ref="D65:G65" si="10">SUM(D62:D64)</f>
        <v>420</v>
      </c>
      <c r="E65" s="14">
        <f t="shared" si="10"/>
        <v>329.33333333333331</v>
      </c>
      <c r="F65" s="14">
        <f>SUM(F62:F64)</f>
        <v>326.66666666666669</v>
      </c>
      <c r="G65" s="76">
        <f t="shared" si="10"/>
        <v>656</v>
      </c>
      <c r="I65" t="s">
        <v>42</v>
      </c>
    </row>
    <row r="66" spans="2:9" x14ac:dyDescent="0.2">
      <c r="B66" s="24"/>
      <c r="C66" s="14"/>
      <c r="D66" s="14"/>
      <c r="E66" s="14"/>
      <c r="F66" s="14"/>
      <c r="G66" s="76"/>
    </row>
    <row r="67" spans="2:9" x14ac:dyDescent="0.2">
      <c r="B67" s="40" t="s">
        <v>79</v>
      </c>
      <c r="C67" s="14"/>
      <c r="D67" s="14"/>
      <c r="E67" s="14"/>
      <c r="F67" s="14"/>
      <c r="G67" s="76"/>
    </row>
    <row r="68" spans="2:9" x14ac:dyDescent="0.2">
      <c r="B68" s="27" t="s">
        <v>81</v>
      </c>
      <c r="C68" s="95">
        <f>'Base Lease Info'!E83</f>
        <v>0.8</v>
      </c>
      <c r="D68" s="96"/>
      <c r="E68" s="96"/>
      <c r="F68" s="4"/>
      <c r="G68" s="37"/>
    </row>
    <row r="69" spans="2:9" x14ac:dyDescent="0.2">
      <c r="B69" s="27" t="s">
        <v>80</v>
      </c>
      <c r="C69" s="95">
        <f>'Base Lease Info'!E84</f>
        <v>0.5</v>
      </c>
      <c r="D69" s="95">
        <f>'Base Lease Info'!F84</f>
        <v>0.4</v>
      </c>
      <c r="E69" s="95">
        <f>'Base Lease Info'!G84</f>
        <v>9.9999999999999978E-2</v>
      </c>
      <c r="F69" s="3"/>
      <c r="G69" s="39"/>
    </row>
    <row r="70" spans="2:9" x14ac:dyDescent="0.2">
      <c r="B70" s="27" t="s">
        <v>82</v>
      </c>
      <c r="C70" s="93">
        <f>'Base Lease Info'!E85</f>
        <v>3.7</v>
      </c>
      <c r="D70" s="93">
        <f>'Base Lease Info'!F85</f>
        <v>8.4</v>
      </c>
      <c r="E70" s="93">
        <f>'Base Lease Info'!G85</f>
        <v>5.5</v>
      </c>
      <c r="F70" s="3"/>
      <c r="G70" s="39"/>
    </row>
    <row r="71" spans="2:9" x14ac:dyDescent="0.2">
      <c r="B71" s="27" t="s">
        <v>83</v>
      </c>
      <c r="C71" s="97">
        <f>'Base Lease Info'!E86</f>
        <v>155</v>
      </c>
      <c r="D71" s="97">
        <f>'Base Lease Info'!F86</f>
        <v>48</v>
      </c>
      <c r="E71" s="97">
        <f>'Base Lease Info'!G86</f>
        <v>60</v>
      </c>
      <c r="F71" s="28"/>
      <c r="G71" s="77"/>
    </row>
    <row r="72" spans="2:9" x14ac:dyDescent="0.2">
      <c r="B72" s="27" t="s">
        <v>84</v>
      </c>
      <c r="C72" s="94">
        <f>IF(C61&lt;C70,(C70-C61)*C71*0.85,0)</f>
        <v>0</v>
      </c>
      <c r="D72" s="94">
        <f t="shared" ref="D72:E72" si="11">IF(D61&lt;D70,(D70-D61)*D71*0.85,0)</f>
        <v>0</v>
      </c>
      <c r="E72" s="94">
        <f t="shared" si="11"/>
        <v>22.100000000000012</v>
      </c>
      <c r="F72" s="28"/>
      <c r="G72" s="77"/>
    </row>
    <row r="73" spans="2:9" x14ac:dyDescent="0.2">
      <c r="B73" s="27" t="s">
        <v>85</v>
      </c>
      <c r="C73" s="320">
        <f>(C72*C69+D72*D69+E72*E69)*C68</f>
        <v>1.7680000000000007</v>
      </c>
      <c r="D73" s="321"/>
      <c r="E73" s="322"/>
      <c r="F73" s="3"/>
      <c r="G73" s="39"/>
    </row>
    <row r="74" spans="2:9" x14ac:dyDescent="0.2">
      <c r="B74" s="27"/>
      <c r="C74" s="29"/>
      <c r="D74" s="3"/>
      <c r="E74" s="3"/>
      <c r="F74" s="3"/>
      <c r="G74" s="39"/>
    </row>
    <row r="75" spans="2:9" x14ac:dyDescent="0.2">
      <c r="B75" s="17"/>
      <c r="C75" s="2"/>
      <c r="D75" s="2"/>
      <c r="E75" s="2"/>
      <c r="F75" s="2"/>
      <c r="G75" s="78"/>
    </row>
    <row r="76" spans="2:9" x14ac:dyDescent="0.2">
      <c r="B76" s="16" t="s">
        <v>1</v>
      </c>
      <c r="C76" s="2"/>
      <c r="D76" s="2"/>
      <c r="E76" s="2"/>
      <c r="F76" s="2"/>
      <c r="G76" s="78"/>
    </row>
    <row r="77" spans="2:9" x14ac:dyDescent="0.2">
      <c r="B77" s="17" t="s">
        <v>2</v>
      </c>
      <c r="C77" s="3">
        <f>'Base Lease Info'!F25</f>
        <v>275</v>
      </c>
      <c r="D77" s="3">
        <f>'Base Lease Info'!G25</f>
        <v>150</v>
      </c>
      <c r="E77" s="3">
        <f>'Base Lease Info'!H25</f>
        <v>140</v>
      </c>
      <c r="F77" s="3">
        <f>'Base Lease Info'!I25</f>
        <v>150</v>
      </c>
      <c r="G77" s="39">
        <f>E77+F77</f>
        <v>290</v>
      </c>
      <c r="I77" t="s">
        <v>45</v>
      </c>
    </row>
    <row r="78" spans="2:9" x14ac:dyDescent="0.2">
      <c r="B78" s="17" t="s">
        <v>6</v>
      </c>
      <c r="C78" s="3">
        <f>'Base Lease Info'!F26</f>
        <v>140</v>
      </c>
      <c r="D78" s="3">
        <f>'Base Lease Info'!G26</f>
        <v>90</v>
      </c>
      <c r="E78" s="3">
        <f>'Base Lease Info'!H26</f>
        <v>90</v>
      </c>
      <c r="F78" s="3">
        <f>'Base Lease Info'!I26</f>
        <v>85</v>
      </c>
      <c r="G78" s="39">
        <f t="shared" ref="G78:G79" si="12">E78+F78</f>
        <v>175</v>
      </c>
      <c r="I78" t="s">
        <v>46</v>
      </c>
    </row>
    <row r="79" spans="2:9" x14ac:dyDescent="0.2">
      <c r="B79" s="17" t="s">
        <v>3</v>
      </c>
      <c r="C79" s="3">
        <f>'Base Lease Info'!F27</f>
        <v>60</v>
      </c>
      <c r="D79" s="3">
        <f>'Base Lease Info'!G27</f>
        <v>40</v>
      </c>
      <c r="E79" s="3">
        <f>'Base Lease Info'!H27</f>
        <v>40</v>
      </c>
      <c r="F79" s="3">
        <f>'Base Lease Info'!I27</f>
        <v>40</v>
      </c>
      <c r="G79" s="39">
        <f t="shared" si="12"/>
        <v>80</v>
      </c>
      <c r="I79" t="s">
        <v>47</v>
      </c>
    </row>
    <row r="80" spans="2:9" x14ac:dyDescent="0.2">
      <c r="B80" s="18" t="s">
        <v>4</v>
      </c>
      <c r="C80" s="6">
        <f>$C55</f>
        <v>210</v>
      </c>
      <c r="D80" s="6">
        <f>D55</f>
        <v>168</v>
      </c>
      <c r="E80" s="6">
        <f>E55</f>
        <v>115.26666666666665</v>
      </c>
      <c r="F80" s="6">
        <f>F55</f>
        <v>114.33333333333333</v>
      </c>
      <c r="G80" s="38">
        <f>G55</f>
        <v>229.6</v>
      </c>
      <c r="I80" t="s">
        <v>60</v>
      </c>
    </row>
    <row r="81" spans="2:9" x14ac:dyDescent="0.2">
      <c r="B81" s="24" t="s">
        <v>44</v>
      </c>
      <c r="C81" s="14">
        <f>SUM(C77:C80)</f>
        <v>685</v>
      </c>
      <c r="D81" s="14">
        <f>SUM(D77:D80)</f>
        <v>448</v>
      </c>
      <c r="E81" s="14">
        <f t="shared" ref="E81" si="13">SUM(E77:E80)</f>
        <v>385.26666666666665</v>
      </c>
      <c r="F81" s="14">
        <f>SUM(F77:F80)</f>
        <v>389.33333333333331</v>
      </c>
      <c r="G81" s="39">
        <f>SUM(G77:G80)</f>
        <v>774.6</v>
      </c>
      <c r="I81" t="s">
        <v>61</v>
      </c>
    </row>
    <row r="82" spans="2:9" x14ac:dyDescent="0.2">
      <c r="B82" s="17"/>
      <c r="C82" s="2"/>
      <c r="D82" s="2"/>
      <c r="E82" s="2"/>
      <c r="F82" s="2"/>
      <c r="G82" s="78"/>
    </row>
    <row r="83" spans="2:9" x14ac:dyDescent="0.2">
      <c r="B83" s="17" t="s">
        <v>8</v>
      </c>
      <c r="C83" s="3">
        <f>C65</f>
        <v>600</v>
      </c>
      <c r="D83" s="3">
        <f t="shared" ref="D83:G83" si="14">D65</f>
        <v>420</v>
      </c>
      <c r="E83" s="3">
        <f t="shared" si="14"/>
        <v>329.33333333333331</v>
      </c>
      <c r="F83" s="3">
        <f t="shared" si="14"/>
        <v>326.66666666666669</v>
      </c>
      <c r="G83" s="39">
        <f t="shared" si="14"/>
        <v>656</v>
      </c>
      <c r="I83" s="25" t="s">
        <v>67</v>
      </c>
    </row>
    <row r="84" spans="2:9" x14ac:dyDescent="0.2">
      <c r="B84" s="17" t="s">
        <v>9</v>
      </c>
      <c r="C84" s="5">
        <f>SUM(C77:C80)</f>
        <v>685</v>
      </c>
      <c r="D84" s="5">
        <f t="shared" ref="D84:G84" si="15">SUM(D77:D80)</f>
        <v>448</v>
      </c>
      <c r="E84" s="5">
        <f t="shared" si="15"/>
        <v>385.26666666666665</v>
      </c>
      <c r="F84" s="5">
        <f t="shared" si="15"/>
        <v>389.33333333333331</v>
      </c>
      <c r="G84" s="85">
        <f t="shared" si="15"/>
        <v>774.6</v>
      </c>
    </row>
    <row r="85" spans="2:9" x14ac:dyDescent="0.2">
      <c r="B85" s="21" t="s">
        <v>7</v>
      </c>
      <c r="C85" s="10">
        <f>C83-C84</f>
        <v>-85</v>
      </c>
      <c r="D85" s="10">
        <f>D83-D84</f>
        <v>-28</v>
      </c>
      <c r="E85" s="10">
        <f>E83-E84</f>
        <v>-55.933333333333337</v>
      </c>
      <c r="F85" s="10">
        <f t="shared" ref="F85:G85" si="16">F83-F84</f>
        <v>-62.666666666666629</v>
      </c>
      <c r="G85" s="36">
        <f t="shared" si="16"/>
        <v>-118.60000000000002</v>
      </c>
      <c r="I85" t="s">
        <v>50</v>
      </c>
    </row>
    <row r="86" spans="2:9" ht="13.5" thickBot="1" x14ac:dyDescent="0.25">
      <c r="B86" s="22" t="s">
        <v>25</v>
      </c>
      <c r="C86" s="328">
        <f>IF('Base Lease Info'!F12='Base Lease Info'!L76,C85*'Base Lease Info'!F8 + D85*'Base Lease Info'!G8 + E85*'Base Lease Info'!H8 + F85*'Base Lease Info'!H8,C85*'Base Lease Info'!F8 + D85*'Base Lease Info'!G8 + G85*'Base Lease Info'!J8)</f>
        <v>-79.150000000000006</v>
      </c>
      <c r="D86" s="329"/>
      <c r="E86" s="329"/>
      <c r="F86" s="329"/>
      <c r="G86" s="330"/>
      <c r="I86" t="s">
        <v>51</v>
      </c>
    </row>
    <row r="87" spans="2:9" ht="13.5" thickTop="1" x14ac:dyDescent="0.2"/>
    <row r="88" spans="2:9" x14ac:dyDescent="0.2">
      <c r="B88" s="1" t="s">
        <v>59</v>
      </c>
    </row>
    <row r="90" spans="2:9" ht="13.5" thickBot="1" x14ac:dyDescent="0.25">
      <c r="B90" s="11"/>
      <c r="C90" s="11"/>
      <c r="D90" s="11"/>
      <c r="E90" s="11"/>
      <c r="F90" s="11"/>
      <c r="G90" s="11"/>
    </row>
    <row r="91" spans="2:9" ht="17.25" thickTop="1" thickBot="1" x14ac:dyDescent="0.3">
      <c r="B91" s="334" t="s">
        <v>104</v>
      </c>
      <c r="C91" s="335"/>
      <c r="D91" s="335"/>
      <c r="E91" s="335"/>
      <c r="F91" s="335"/>
      <c r="G91" s="336"/>
      <c r="I91" s="7"/>
    </row>
    <row r="92" spans="2:9" ht="13.5" thickTop="1" x14ac:dyDescent="0.2">
      <c r="B92" s="68" t="s">
        <v>14</v>
      </c>
      <c r="C92" s="337"/>
      <c r="D92" s="337"/>
      <c r="E92" s="79"/>
      <c r="F92" s="79"/>
      <c r="G92" s="69"/>
      <c r="I92" s="7" t="s">
        <v>18</v>
      </c>
    </row>
    <row r="93" spans="2:9" x14ac:dyDescent="0.2">
      <c r="B93" s="17" t="s">
        <v>31</v>
      </c>
      <c r="C93" s="331">
        <f>'Base Lease Info'!F21</f>
        <v>150</v>
      </c>
      <c r="D93" s="332"/>
      <c r="E93" s="332"/>
      <c r="F93" s="332"/>
      <c r="G93" s="333"/>
      <c r="I93" s="7"/>
    </row>
    <row r="94" spans="2:9" x14ac:dyDescent="0.2">
      <c r="B94" s="17" t="s">
        <v>10</v>
      </c>
      <c r="C94" s="331">
        <f>'Base Lease Info'!F10</f>
        <v>125</v>
      </c>
      <c r="D94" s="332"/>
      <c r="E94" s="332"/>
      <c r="F94" s="332"/>
      <c r="G94" s="333"/>
      <c r="H94" s="15"/>
      <c r="I94" s="11"/>
    </row>
    <row r="95" spans="2:9" x14ac:dyDescent="0.2">
      <c r="B95" s="17" t="s">
        <v>32</v>
      </c>
      <c r="C95" s="331" t="str">
        <f>'Base Lease Info'!F11</f>
        <v>No</v>
      </c>
      <c r="D95" s="332"/>
      <c r="E95" s="332"/>
      <c r="F95" s="332"/>
      <c r="G95" s="333"/>
      <c r="H95" s="15"/>
      <c r="I95" s="11" t="s">
        <v>62</v>
      </c>
    </row>
    <row r="96" spans="2:9" x14ac:dyDescent="0.2">
      <c r="B96" s="17"/>
      <c r="C96" s="12" t="s">
        <v>22</v>
      </c>
      <c r="D96" s="12" t="s">
        <v>23</v>
      </c>
      <c r="E96" s="12" t="s">
        <v>73</v>
      </c>
      <c r="F96" s="12" t="s">
        <v>74</v>
      </c>
      <c r="G96" s="35" t="s">
        <v>76</v>
      </c>
      <c r="H96" s="15"/>
      <c r="I96" s="11"/>
    </row>
    <row r="97" spans="2:9" x14ac:dyDescent="0.2">
      <c r="B97" s="17" t="s">
        <v>28</v>
      </c>
      <c r="C97" s="13">
        <f>SUM('Base Lease Info'!F25:F27)+C94</f>
        <v>600</v>
      </c>
      <c r="D97" s="13">
        <f>SUM('Base Lease Info'!G25:G27)+D94</f>
        <v>280</v>
      </c>
      <c r="E97" s="13">
        <f>SUM('Base Lease Info'!H25:H27)+E94</f>
        <v>270</v>
      </c>
      <c r="F97" s="13">
        <f>SUM('Base Lease Info'!I25:I27)+F94</f>
        <v>275</v>
      </c>
      <c r="G97" s="70">
        <f>E97+F97</f>
        <v>545</v>
      </c>
      <c r="H97" s="15"/>
      <c r="I97" s="11" t="s">
        <v>54</v>
      </c>
    </row>
    <row r="98" spans="2:9" x14ac:dyDescent="0.2">
      <c r="B98" s="17" t="s">
        <v>11</v>
      </c>
      <c r="C98" s="30">
        <f>'Base Lease Info'!F16</f>
        <v>475</v>
      </c>
      <c r="D98" s="30">
        <f>'Base Lease Info'!G16</f>
        <v>325</v>
      </c>
      <c r="E98" s="30">
        <f>'Base Lease Info'!H16</f>
        <v>325</v>
      </c>
      <c r="F98" s="30">
        <f>'Base Lease Info'!I16</f>
        <v>250</v>
      </c>
      <c r="G98" s="70">
        <f>E98+F98</f>
        <v>575</v>
      </c>
      <c r="I98" s="11" t="s">
        <v>38</v>
      </c>
    </row>
    <row r="99" spans="2:9" x14ac:dyDescent="0.2">
      <c r="B99" s="18" t="s">
        <v>12</v>
      </c>
      <c r="C99" s="31">
        <f>'Base Lease Info'!F17</f>
        <v>0.35</v>
      </c>
      <c r="D99" s="31">
        <f>'Base Lease Info'!G17</f>
        <v>0.4</v>
      </c>
      <c r="E99" s="31">
        <f>'Base Lease Info'!H17</f>
        <v>0.35</v>
      </c>
      <c r="F99" s="31">
        <f>'Base Lease Info'!I17</f>
        <v>0.35</v>
      </c>
      <c r="G99" s="90">
        <f>E99*(E106/G106) + F99*(F106/G106)</f>
        <v>0.35</v>
      </c>
      <c r="H99" s="15"/>
      <c r="I99" s="11" t="s">
        <v>39</v>
      </c>
    </row>
    <row r="100" spans="2:9" x14ac:dyDescent="0.2">
      <c r="B100" s="18" t="s">
        <v>55</v>
      </c>
      <c r="C100" s="10">
        <f>IF($C95='Base Lease Info'!$J$75,(C108+C109-C98)*C99,IF((C108 + C109) &gt; C98,(C108+C109-C98)*C99,0))</f>
        <v>50.3125</v>
      </c>
      <c r="D100" s="10">
        <f>IF($C95='Base Lease Info'!$J$75,(D108+D109-D98)*D99,IF((D108 + D109) &gt; D98,(D108+D109-D98)*D99,0))</f>
        <v>43.25</v>
      </c>
      <c r="E100" s="10">
        <f>IF($C95='Base Lease Info'!$J$75,(E108+E109-E98)*E99,IF((E108 + E109) &gt; E98,(E108+E109-E98)*E99,0))</f>
        <v>5.1187499999999995</v>
      </c>
      <c r="F100" s="10">
        <f>IF($C95='Base Lease Info'!$J$75,(F108+F109-F98)*F99,IF((F108 + F109) &gt; F98,(F108+F109-F98)*F99,0))</f>
        <v>30.406249999999996</v>
      </c>
      <c r="G100" s="36">
        <f>IF($C95='Base Lease Info'!$J$75,(G108+G109-G98)*G99,IF((G108 + G109) &gt; G98,(G108+G109-G98)*G99,0))</f>
        <v>35.524999999999999</v>
      </c>
      <c r="H100" s="15"/>
      <c r="I100" s="11" t="s">
        <v>57</v>
      </c>
    </row>
    <row r="101" spans="2:9" ht="15.75" x14ac:dyDescent="0.25">
      <c r="B101" s="19" t="s">
        <v>56</v>
      </c>
      <c r="C101" s="9">
        <f>IF($C95='Base Lease Info'!$J$75,$C94+(C108+C109-C98)*C99,IF((C108 + C109) &gt; C98,$C94+(C108+C109-C98)*C99,$C94))</f>
        <v>175.3125</v>
      </c>
      <c r="D101" s="9">
        <f>IF($C95='Base Lease Info'!$J$75,$C94+(D108+D109-D98)*D99,IF((D108 + D109) &gt; D98,$C94+(D108+D109-D98)*D99,$C94))</f>
        <v>168.25</v>
      </c>
      <c r="E101" s="9">
        <f>IF($C95='Base Lease Info'!$J$75,$C94/2+(E108+E109-E98)*E99,IF((E108 + E109) &gt; E98,$C94/2+(E108+E109-E98)*E99,$C94/2))</f>
        <v>67.618750000000006</v>
      </c>
      <c r="F101" s="9">
        <f>IF($C95='Base Lease Info'!$J$75,$C94/2+(F108+F109-F98)*F99,IF((F108 + F109) &gt; F98,$C94/2+(F108+F109-F98)*F99,$C94/2))</f>
        <v>92.90625</v>
      </c>
      <c r="G101" s="72">
        <f>IF($C95='Base Lease Info'!$J$75,$C94+(G108+G109-G98)*G99,IF((G108 + G109) &gt; G98,$C94+(G108+G109-G98)*G99,$C94))</f>
        <v>160.52500000000001</v>
      </c>
      <c r="I101" t="s">
        <v>40</v>
      </c>
    </row>
    <row r="102" spans="2:9" ht="15.75" x14ac:dyDescent="0.25">
      <c r="B102" s="19" t="s">
        <v>58</v>
      </c>
      <c r="C102" s="323">
        <f>IF('Base Lease Info'!F12='Base Lease Info'!L75,C101*'Base Lease Info'!F8 + D101*'Base Lease Info'!G8 + G101*'Base Lease Info'!J8, C101*'Base Lease Info'!F8 + D101*'Base Lease Info'!G8 + E101*'Base Lease Info'!H8 + F101*'Base Lease Info'!H8)</f>
        <v>169.85</v>
      </c>
      <c r="D102" s="323"/>
      <c r="E102" s="323"/>
      <c r="F102" s="323"/>
      <c r="G102" s="324"/>
      <c r="I102" t="s">
        <v>48</v>
      </c>
    </row>
    <row r="103" spans="2:9" x14ac:dyDescent="0.2">
      <c r="B103" s="17" t="s">
        <v>19</v>
      </c>
      <c r="C103" s="325">
        <f>C102/$C93-1</f>
        <v>0.13233333333333319</v>
      </c>
      <c r="D103" s="326"/>
      <c r="E103" s="326"/>
      <c r="F103" s="326"/>
      <c r="G103" s="327"/>
      <c r="I103" t="s">
        <v>49</v>
      </c>
    </row>
    <row r="104" spans="2:9" x14ac:dyDescent="0.2">
      <c r="B104" s="17"/>
      <c r="C104" s="8"/>
      <c r="D104" s="8"/>
      <c r="E104" s="8"/>
      <c r="F104" s="8"/>
      <c r="G104" s="73"/>
    </row>
    <row r="105" spans="2:9" x14ac:dyDescent="0.2">
      <c r="B105" s="20" t="s">
        <v>20</v>
      </c>
      <c r="C105" s="12" t="s">
        <v>22</v>
      </c>
      <c r="D105" s="12" t="s">
        <v>23</v>
      </c>
      <c r="E105" s="12" t="s">
        <v>73</v>
      </c>
      <c r="F105" s="12" t="s">
        <v>74</v>
      </c>
      <c r="G105" s="35" t="s">
        <v>76</v>
      </c>
    </row>
    <row r="106" spans="2:9" x14ac:dyDescent="0.2">
      <c r="B106" s="17" t="s">
        <v>0</v>
      </c>
      <c r="C106" s="92">
        <f>'Base Lease Info'!B59</f>
        <v>165</v>
      </c>
      <c r="D106" s="92">
        <f>'Base Lease Info'!C59</f>
        <v>49.5</v>
      </c>
      <c r="E106" s="92">
        <f>'Base Lease Info'!E59</f>
        <v>71.5</v>
      </c>
      <c r="F106" s="92">
        <f>'Base Lease Info'!D59</f>
        <v>38.5</v>
      </c>
      <c r="G106" s="108">
        <f>E106+F106</f>
        <v>110</v>
      </c>
      <c r="I106" t="s">
        <v>26</v>
      </c>
    </row>
    <row r="107" spans="2:9" x14ac:dyDescent="0.2">
      <c r="B107" s="17" t="s">
        <v>21</v>
      </c>
      <c r="C107" s="26">
        <f>'Base Lease Info'!F5</f>
        <v>3.75</v>
      </c>
      <c r="D107" s="26">
        <f>'Base Lease Info'!G5</f>
        <v>8.75</v>
      </c>
      <c r="E107" s="26">
        <f>'Base Lease Info'!H5</f>
        <v>4.75</v>
      </c>
      <c r="F107" s="26">
        <f>'Base Lease Info'!I5</f>
        <v>8.75</v>
      </c>
      <c r="G107" s="81">
        <f>E107*(E106/G106) + F107*(F106/G106)</f>
        <v>6.15</v>
      </c>
      <c r="I107" t="s">
        <v>27</v>
      </c>
    </row>
    <row r="108" spans="2:9" x14ac:dyDescent="0.2">
      <c r="B108" s="17" t="s">
        <v>5</v>
      </c>
      <c r="C108" s="3">
        <f>C106*C107</f>
        <v>618.75</v>
      </c>
      <c r="D108" s="3">
        <f>D106*D107</f>
        <v>433.125</v>
      </c>
      <c r="E108" s="3">
        <f t="shared" ref="E108:F108" si="17">E106*E107</f>
        <v>339.625</v>
      </c>
      <c r="F108" s="3">
        <f t="shared" si="17"/>
        <v>336.875</v>
      </c>
      <c r="G108" s="46">
        <f>G106*G107</f>
        <v>676.5</v>
      </c>
      <c r="I108" t="s">
        <v>41</v>
      </c>
    </row>
    <row r="109" spans="2:9" x14ac:dyDescent="0.2">
      <c r="B109" s="17" t="s">
        <v>13</v>
      </c>
      <c r="C109" s="3">
        <f>IF('Base Lease Info'!$F6='Base Lease Info'!$J$75,$C119,0)</f>
        <v>0</v>
      </c>
      <c r="D109" s="3">
        <f>IF('Base Lease Info'!$F6='Base Lease Info'!$J$75,$C119,0)</f>
        <v>0</v>
      </c>
      <c r="E109" s="3">
        <f>IF('Base Lease Info'!$F6='Base Lease Info'!$J$75,$C119,0)</f>
        <v>0</v>
      </c>
      <c r="F109" s="3">
        <f>IF('Base Lease Info'!$F6='Base Lease Info'!$J$75,$C119,0)</f>
        <v>0</v>
      </c>
      <c r="G109" s="39">
        <f>IF('Base Lease Info'!$F6='Base Lease Info'!$J$75,$C119,0)</f>
        <v>0</v>
      </c>
      <c r="I109" s="25" t="s">
        <v>63</v>
      </c>
    </row>
    <row r="110" spans="2:9" x14ac:dyDescent="0.2">
      <c r="B110" s="27" t="s">
        <v>107</v>
      </c>
      <c r="C110" s="6">
        <f>'Base Lease Info'!E80</f>
        <v>0</v>
      </c>
      <c r="D110" s="6">
        <f>'Base Lease Info'!F80</f>
        <v>0</v>
      </c>
      <c r="E110" s="6">
        <f>'Base Lease Info'!G80</f>
        <v>0</v>
      </c>
      <c r="F110" s="6">
        <f>'Base Lease Info'!H80</f>
        <v>0</v>
      </c>
      <c r="G110" s="38">
        <f>'Base Lease Info'!I80</f>
        <v>0</v>
      </c>
      <c r="I110" s="25"/>
    </row>
    <row r="111" spans="2:9" x14ac:dyDescent="0.2">
      <c r="B111" s="24" t="s">
        <v>43</v>
      </c>
      <c r="C111" s="14">
        <f>SUM(C108:C110)</f>
        <v>618.75</v>
      </c>
      <c r="D111" s="14">
        <f t="shared" ref="D111:G111" si="18">SUM(D108:D110)</f>
        <v>433.125</v>
      </c>
      <c r="E111" s="14">
        <f t="shared" si="18"/>
        <v>339.625</v>
      </c>
      <c r="F111" s="14">
        <f t="shared" si="18"/>
        <v>336.875</v>
      </c>
      <c r="G111" s="76">
        <f t="shared" si="18"/>
        <v>676.5</v>
      </c>
      <c r="I111" t="s">
        <v>42</v>
      </c>
    </row>
    <row r="112" spans="2:9" x14ac:dyDescent="0.2">
      <c r="B112" s="24"/>
      <c r="C112" s="14"/>
      <c r="D112" s="14"/>
      <c r="E112" s="14"/>
      <c r="F112" s="14"/>
      <c r="G112" s="76"/>
    </row>
    <row r="113" spans="2:9" x14ac:dyDescent="0.2">
      <c r="B113" s="40" t="s">
        <v>79</v>
      </c>
      <c r="C113" s="14"/>
      <c r="D113" s="14"/>
      <c r="E113" s="14"/>
      <c r="F113" s="14"/>
      <c r="G113" s="76"/>
    </row>
    <row r="114" spans="2:9" x14ac:dyDescent="0.2">
      <c r="B114" s="27" t="s">
        <v>81</v>
      </c>
      <c r="C114" s="95">
        <f>'Base Lease Info'!E83</f>
        <v>0.8</v>
      </c>
      <c r="D114" s="96"/>
      <c r="E114" s="96"/>
      <c r="F114" s="4"/>
      <c r="G114" s="37"/>
    </row>
    <row r="115" spans="2:9" x14ac:dyDescent="0.2">
      <c r="B115" s="27" t="s">
        <v>80</v>
      </c>
      <c r="C115" s="95">
        <f>'Base Lease Info'!E84</f>
        <v>0.5</v>
      </c>
      <c r="D115" s="95">
        <f>'Base Lease Info'!F84</f>
        <v>0.4</v>
      </c>
      <c r="E115" s="95">
        <f>'Base Lease Info'!G84</f>
        <v>9.9999999999999978E-2</v>
      </c>
      <c r="F115" s="3"/>
      <c r="G115" s="39"/>
    </row>
    <row r="116" spans="2:9" x14ac:dyDescent="0.2">
      <c r="B116" s="80" t="s">
        <v>82</v>
      </c>
      <c r="C116" s="93">
        <f>'Base Lease Info'!E85</f>
        <v>3.7</v>
      </c>
      <c r="D116" s="93">
        <f>'Base Lease Info'!F85</f>
        <v>8.4</v>
      </c>
      <c r="E116" s="93">
        <f>'Base Lease Info'!G85</f>
        <v>5.5</v>
      </c>
      <c r="F116" s="3"/>
      <c r="G116" s="39"/>
      <c r="I116" s="25" t="s">
        <v>106</v>
      </c>
    </row>
    <row r="117" spans="2:9" x14ac:dyDescent="0.2">
      <c r="B117" s="27" t="s">
        <v>83</v>
      </c>
      <c r="C117" s="97">
        <f>'Base Lease Info'!E86</f>
        <v>155</v>
      </c>
      <c r="D117" s="97">
        <f>'Base Lease Info'!F86</f>
        <v>48</v>
      </c>
      <c r="E117" s="97">
        <f>'Base Lease Info'!G86</f>
        <v>60</v>
      </c>
      <c r="F117" s="28"/>
      <c r="G117" s="77"/>
    </row>
    <row r="118" spans="2:9" x14ac:dyDescent="0.2">
      <c r="B118" s="27" t="s">
        <v>84</v>
      </c>
      <c r="C118" s="3">
        <f>IF(C107&lt;C116,(C116-C107)*C117*0.85,0)</f>
        <v>0</v>
      </c>
      <c r="D118" s="3">
        <f>IF(D107&lt;D116,(D116-D107)*D117*0.85,0)</f>
        <v>0</v>
      </c>
      <c r="E118" s="3">
        <f>IF(E107&lt;E116,(E116-E107)*E117*0.85,0)</f>
        <v>38.25</v>
      </c>
      <c r="F118" s="28"/>
      <c r="G118" s="77"/>
    </row>
    <row r="119" spans="2:9" x14ac:dyDescent="0.2">
      <c r="B119" s="27" t="s">
        <v>85</v>
      </c>
      <c r="C119" s="320">
        <f>(C118*C115+D118*D115+E118*E115)*C114</f>
        <v>3.0599999999999996</v>
      </c>
      <c r="D119" s="321"/>
      <c r="E119" s="322"/>
      <c r="F119" s="3"/>
      <c r="G119" s="39"/>
    </row>
    <row r="120" spans="2:9" x14ac:dyDescent="0.2">
      <c r="B120" s="27"/>
      <c r="C120" s="29"/>
      <c r="D120" s="3"/>
      <c r="E120" s="3"/>
      <c r="F120" s="3"/>
      <c r="G120" s="39"/>
    </row>
    <row r="121" spans="2:9" x14ac:dyDescent="0.2">
      <c r="B121" s="17"/>
      <c r="C121" s="2"/>
      <c r="D121" s="2"/>
      <c r="E121" s="2"/>
      <c r="F121" s="2"/>
      <c r="G121" s="78"/>
    </row>
    <row r="122" spans="2:9" x14ac:dyDescent="0.2">
      <c r="B122" s="16" t="s">
        <v>1</v>
      </c>
      <c r="C122" s="2"/>
      <c r="D122" s="2"/>
      <c r="E122" s="2"/>
      <c r="F122" s="2"/>
      <c r="G122" s="78"/>
    </row>
    <row r="123" spans="2:9" x14ac:dyDescent="0.2">
      <c r="B123" s="17" t="s">
        <v>2</v>
      </c>
      <c r="C123" s="3">
        <f>'Base Lease Info'!F25</f>
        <v>275</v>
      </c>
      <c r="D123" s="3">
        <f>'Base Lease Info'!G25</f>
        <v>150</v>
      </c>
      <c r="E123" s="3">
        <f>'Base Lease Info'!H25</f>
        <v>140</v>
      </c>
      <c r="F123" s="3">
        <f>'Base Lease Info'!I25</f>
        <v>150</v>
      </c>
      <c r="G123" s="39">
        <f>E123+F123</f>
        <v>290</v>
      </c>
      <c r="I123" t="s">
        <v>45</v>
      </c>
    </row>
    <row r="124" spans="2:9" x14ac:dyDescent="0.2">
      <c r="B124" s="17" t="s">
        <v>6</v>
      </c>
      <c r="C124" s="3">
        <f>'Base Lease Info'!F26</f>
        <v>140</v>
      </c>
      <c r="D124" s="3">
        <f>'Base Lease Info'!G26</f>
        <v>90</v>
      </c>
      <c r="E124" s="3">
        <f>'Base Lease Info'!H26</f>
        <v>90</v>
      </c>
      <c r="F124" s="3">
        <f>'Base Lease Info'!I26</f>
        <v>85</v>
      </c>
      <c r="G124" s="39">
        <f t="shared" ref="G124:G125" si="19">E124+F124</f>
        <v>175</v>
      </c>
      <c r="I124" t="s">
        <v>46</v>
      </c>
    </row>
    <row r="125" spans="2:9" x14ac:dyDescent="0.2">
      <c r="B125" s="17" t="s">
        <v>3</v>
      </c>
      <c r="C125" s="3">
        <f>'Base Lease Info'!F27</f>
        <v>60</v>
      </c>
      <c r="D125" s="3">
        <f>'Base Lease Info'!G27</f>
        <v>40</v>
      </c>
      <c r="E125" s="3">
        <f>'Base Lease Info'!H27</f>
        <v>40</v>
      </c>
      <c r="F125" s="3">
        <f>'Base Lease Info'!I27</f>
        <v>40</v>
      </c>
      <c r="G125" s="39">
        <f t="shared" si="19"/>
        <v>80</v>
      </c>
      <c r="I125" t="s">
        <v>47</v>
      </c>
    </row>
    <row r="126" spans="2:9" x14ac:dyDescent="0.2">
      <c r="B126" s="17" t="s">
        <v>4</v>
      </c>
      <c r="C126" s="6">
        <f>$C101</f>
        <v>175.3125</v>
      </c>
      <c r="D126" s="6">
        <f>D101</f>
        <v>168.25</v>
      </c>
      <c r="E126" s="6">
        <f t="shared" ref="E126:F126" si="20">E101</f>
        <v>67.618750000000006</v>
      </c>
      <c r="F126" s="6">
        <f t="shared" si="20"/>
        <v>92.90625</v>
      </c>
      <c r="G126" s="38">
        <f>G101</f>
        <v>160.52500000000001</v>
      </c>
      <c r="I126" t="s">
        <v>60</v>
      </c>
    </row>
    <row r="127" spans="2:9" x14ac:dyDescent="0.2">
      <c r="B127" s="24" t="s">
        <v>44</v>
      </c>
      <c r="C127" s="14">
        <f>SUM(C123:C126)</f>
        <v>650.3125</v>
      </c>
      <c r="D127" s="14">
        <f>SUM(D123:D126)</f>
        <v>448.25</v>
      </c>
      <c r="E127" s="14">
        <f t="shared" ref="E127" si="21">SUM(E123:E126)</f>
        <v>337.61874999999998</v>
      </c>
      <c r="F127" s="14">
        <f>SUM(F123:F126)</f>
        <v>367.90625</v>
      </c>
      <c r="G127" s="39">
        <f>SUM(G123:G126)</f>
        <v>705.52499999999998</v>
      </c>
      <c r="I127" t="s">
        <v>61</v>
      </c>
    </row>
    <row r="128" spans="2:9" x14ac:dyDescent="0.2">
      <c r="B128" s="17"/>
      <c r="C128" s="2"/>
      <c r="D128" s="2"/>
      <c r="E128" s="2"/>
      <c r="F128" s="2"/>
      <c r="G128" s="78"/>
    </row>
    <row r="129" spans="2:9" x14ac:dyDescent="0.2">
      <c r="B129" s="18" t="s">
        <v>8</v>
      </c>
      <c r="C129" s="3">
        <f>C111</f>
        <v>618.75</v>
      </c>
      <c r="D129" s="3">
        <f t="shared" ref="D129:G129" si="22">D111</f>
        <v>433.125</v>
      </c>
      <c r="E129" s="3">
        <f t="shared" si="22"/>
        <v>339.625</v>
      </c>
      <c r="F129" s="3">
        <f t="shared" si="22"/>
        <v>336.875</v>
      </c>
      <c r="G129" s="39">
        <f t="shared" si="22"/>
        <v>676.5</v>
      </c>
      <c r="I129" s="25" t="s">
        <v>67</v>
      </c>
    </row>
    <row r="130" spans="2:9" x14ac:dyDescent="0.2">
      <c r="B130" s="17" t="s">
        <v>9</v>
      </c>
      <c r="C130" s="5">
        <f>SUM(C123:C126)</f>
        <v>650.3125</v>
      </c>
      <c r="D130" s="5">
        <f>SUM(D123:D126)</f>
        <v>448.25</v>
      </c>
      <c r="E130" s="5">
        <f t="shared" ref="E130" si="23">SUM(E123:E126)</f>
        <v>337.61874999999998</v>
      </c>
      <c r="F130" s="5">
        <f>SUM(F123:F126)</f>
        <v>367.90625</v>
      </c>
      <c r="G130" s="39">
        <f>SUM(G123:G126)</f>
        <v>705.52499999999998</v>
      </c>
    </row>
    <row r="131" spans="2:9" x14ac:dyDescent="0.2">
      <c r="B131" s="21" t="s">
        <v>7</v>
      </c>
      <c r="C131" s="10">
        <f>C129-C130</f>
        <v>-31.5625</v>
      </c>
      <c r="D131" s="10">
        <f>D129-D130</f>
        <v>-15.125</v>
      </c>
      <c r="E131" s="10">
        <f>E129-E130</f>
        <v>2.0062500000000227</v>
      </c>
      <c r="F131" s="10">
        <f t="shared" ref="F131:G131" si="24">F129-F130</f>
        <v>-31.03125</v>
      </c>
      <c r="G131" s="36">
        <f t="shared" si="24"/>
        <v>-29.024999999999977</v>
      </c>
      <c r="I131" t="s">
        <v>50</v>
      </c>
    </row>
    <row r="132" spans="2:9" ht="13.5" thickBot="1" x14ac:dyDescent="0.25">
      <c r="B132" s="91" t="s">
        <v>25</v>
      </c>
      <c r="C132" s="328">
        <f>IF('Base Lease Info'!F12='Base Lease Info'!L76,C131*'Base Lease Info'!F8 + D131*'Base Lease Info'!G8 + E131*'Base Lease Info'!H8 + F131*'Base Lease Info'!H8,C131*'Base Lease Info'!F8 + D131*'Base Lease Info'!G8 + G131*'Base Lease Info'!J8)</f>
        <v>-26.818749999999994</v>
      </c>
      <c r="D132" s="329"/>
      <c r="E132" s="329"/>
      <c r="F132" s="329"/>
      <c r="G132" s="330"/>
      <c r="I132" t="s">
        <v>51</v>
      </c>
    </row>
    <row r="133" spans="2:9" ht="13.5" thickTop="1" x14ac:dyDescent="0.2"/>
    <row r="134" spans="2:9" x14ac:dyDescent="0.2">
      <c r="B134" s="1" t="s">
        <v>59</v>
      </c>
    </row>
    <row r="136" spans="2:9" ht="13.5" thickBot="1" x14ac:dyDescent="0.25"/>
    <row r="137" spans="2:9" ht="17.25" thickTop="1" thickBot="1" x14ac:dyDescent="0.3">
      <c r="B137" s="334" t="s">
        <v>105</v>
      </c>
      <c r="C137" s="335"/>
      <c r="D137" s="335"/>
      <c r="E137" s="335"/>
      <c r="F137" s="335"/>
      <c r="G137" s="336"/>
      <c r="I137" s="7"/>
    </row>
    <row r="138" spans="2:9" ht="13.5" thickTop="1" x14ac:dyDescent="0.2">
      <c r="B138" s="68" t="s">
        <v>14</v>
      </c>
      <c r="C138" s="337"/>
      <c r="D138" s="337"/>
      <c r="E138" s="79"/>
      <c r="F138" s="79"/>
      <c r="G138" s="69"/>
      <c r="I138" s="7" t="s">
        <v>18</v>
      </c>
    </row>
    <row r="139" spans="2:9" x14ac:dyDescent="0.2">
      <c r="B139" s="17" t="s">
        <v>31</v>
      </c>
      <c r="C139" s="331">
        <f>'Base Lease Info'!F21</f>
        <v>150</v>
      </c>
      <c r="D139" s="332"/>
      <c r="E139" s="332"/>
      <c r="F139" s="332"/>
      <c r="G139" s="333"/>
      <c r="I139" s="7"/>
    </row>
    <row r="140" spans="2:9" x14ac:dyDescent="0.2">
      <c r="B140" s="17" t="s">
        <v>10</v>
      </c>
      <c r="C140" s="331">
        <f>'Base Lease Info'!F10</f>
        <v>125</v>
      </c>
      <c r="D140" s="332"/>
      <c r="E140" s="332"/>
      <c r="F140" s="332"/>
      <c r="G140" s="333"/>
      <c r="H140" s="15"/>
      <c r="I140" s="11"/>
    </row>
    <row r="141" spans="2:9" x14ac:dyDescent="0.2">
      <c r="B141" s="17" t="s">
        <v>32</v>
      </c>
      <c r="C141" s="331" t="str">
        <f>'Base Lease Info'!F11</f>
        <v>No</v>
      </c>
      <c r="D141" s="332"/>
      <c r="E141" s="332"/>
      <c r="F141" s="332"/>
      <c r="G141" s="333"/>
      <c r="H141" s="15"/>
      <c r="I141" s="11" t="s">
        <v>62</v>
      </c>
    </row>
    <row r="142" spans="2:9" x14ac:dyDescent="0.2">
      <c r="B142" s="27"/>
      <c r="C142" s="12" t="s">
        <v>22</v>
      </c>
      <c r="D142" s="12" t="s">
        <v>23</v>
      </c>
      <c r="E142" s="12" t="s">
        <v>73</v>
      </c>
      <c r="F142" s="12" t="s">
        <v>74</v>
      </c>
      <c r="G142" s="35" t="s">
        <v>76</v>
      </c>
      <c r="H142" s="15"/>
      <c r="I142" s="11"/>
    </row>
    <row r="143" spans="2:9" x14ac:dyDescent="0.2">
      <c r="B143" s="80" t="s">
        <v>12</v>
      </c>
      <c r="C143" s="31">
        <f>'Base Lease Info'!F17</f>
        <v>0.35</v>
      </c>
      <c r="D143" s="31">
        <f>'Base Lease Info'!G17</f>
        <v>0.4</v>
      </c>
      <c r="E143" s="31">
        <f>'Base Lease Info'!H17</f>
        <v>0.35</v>
      </c>
      <c r="F143" s="31">
        <f>'Base Lease Info'!I17</f>
        <v>0.35</v>
      </c>
      <c r="G143" s="71">
        <f>E143*(E149/G149) + F143*(F149/G149)</f>
        <v>0.35</v>
      </c>
      <c r="H143" s="15"/>
      <c r="I143" s="11" t="s">
        <v>39</v>
      </c>
    </row>
    <row r="144" spans="2:9" ht="15.75" x14ac:dyDescent="0.25">
      <c r="B144" s="19" t="s">
        <v>91</v>
      </c>
      <c r="C144" s="9">
        <f>IF($C$141='Base Lease Info'!$J$75,C172*C143,IF(C172*C143&gt;$C$140,C172*C143,$C$140))</f>
        <v>216.5625</v>
      </c>
      <c r="D144" s="9">
        <f>IF($C$141='Base Lease Info'!$J$75,D172*D143,IF(D172*D143&gt;$C$140,D172*D143,$C$140))</f>
        <v>173.25</v>
      </c>
      <c r="E144" s="9">
        <f>IF($C$141='Base Lease Info'!$J$75,E172*E143,IF(E172*E143&gt;$C$140/2,E172*E143,$C$140/2))</f>
        <v>118.86874999999999</v>
      </c>
      <c r="F144" s="9">
        <f>IF($C$141='Base Lease Info'!$J$75,F172*F143,IF(F172*F143&gt;$C$140/2,F172*F143,$C$140/2))</f>
        <v>117.90624999999999</v>
      </c>
      <c r="G144" s="72">
        <f>IF($C$141='Base Lease Info'!$J$75,G172*G143,IF(G172*G143&gt;$C$140,G172*G143,$C$140))</f>
        <v>236.77499999999998</v>
      </c>
      <c r="I144" t="s">
        <v>40</v>
      </c>
    </row>
    <row r="145" spans="2:9" ht="15.75" x14ac:dyDescent="0.25">
      <c r="B145" s="19" t="s">
        <v>58</v>
      </c>
      <c r="C145" s="323">
        <f>IF('Base Lease Info'!F12='Base Lease Info'!L75,C144*'Base Lease Info'!F8 + D144*'Base Lease Info'!G8 + G144*'Base Lease Info'!J8, C144*'Base Lease Info'!F8 + D144*'Base Lease Info'!G8 + E144*'Base Lease Info'!H8 + F144*'Base Lease Info'!H8)</f>
        <v>210.78749999999999</v>
      </c>
      <c r="D145" s="323"/>
      <c r="E145" s="323"/>
      <c r="F145" s="323"/>
      <c r="G145" s="324"/>
      <c r="I145" t="s">
        <v>48</v>
      </c>
    </row>
    <row r="146" spans="2:9" x14ac:dyDescent="0.2">
      <c r="B146" s="17" t="s">
        <v>19</v>
      </c>
      <c r="C146" s="325">
        <f>C145/$C139-1</f>
        <v>0.40524999999999989</v>
      </c>
      <c r="D146" s="326"/>
      <c r="E146" s="326"/>
      <c r="F146" s="326"/>
      <c r="G146" s="327"/>
      <c r="I146" t="s">
        <v>49</v>
      </c>
    </row>
    <row r="147" spans="2:9" x14ac:dyDescent="0.2">
      <c r="B147" s="17"/>
      <c r="C147" s="8"/>
      <c r="D147" s="8"/>
      <c r="E147" s="8"/>
      <c r="F147" s="8"/>
      <c r="G147" s="73"/>
    </row>
    <row r="148" spans="2:9" x14ac:dyDescent="0.2">
      <c r="B148" s="20" t="s">
        <v>20</v>
      </c>
      <c r="C148" s="12" t="s">
        <v>22</v>
      </c>
      <c r="D148" s="12" t="s">
        <v>23</v>
      </c>
      <c r="E148" s="12" t="s">
        <v>73</v>
      </c>
      <c r="F148" s="12" t="s">
        <v>74</v>
      </c>
      <c r="G148" s="35" t="s">
        <v>76</v>
      </c>
    </row>
    <row r="149" spans="2:9" x14ac:dyDescent="0.2">
      <c r="B149" s="17" t="s">
        <v>0</v>
      </c>
      <c r="C149" s="92">
        <f>'Base Lease Info'!B59</f>
        <v>165</v>
      </c>
      <c r="D149" s="92">
        <f>'Base Lease Info'!C59</f>
        <v>49.5</v>
      </c>
      <c r="E149" s="92">
        <f>'Base Lease Info'!E59</f>
        <v>71.5</v>
      </c>
      <c r="F149" s="92">
        <f>'Base Lease Info'!D59</f>
        <v>38.5</v>
      </c>
      <c r="G149" s="74">
        <f>E149+F149</f>
        <v>110</v>
      </c>
      <c r="I149" t="s">
        <v>26</v>
      </c>
    </row>
    <row r="150" spans="2:9" x14ac:dyDescent="0.2">
      <c r="B150" s="17" t="s">
        <v>21</v>
      </c>
      <c r="C150" s="26">
        <f>'Base Lease Info'!F5</f>
        <v>3.75</v>
      </c>
      <c r="D150" s="26">
        <f>'Base Lease Info'!G5</f>
        <v>8.75</v>
      </c>
      <c r="E150" s="26">
        <f>'Base Lease Info'!H5</f>
        <v>4.75</v>
      </c>
      <c r="F150" s="26">
        <f>'Base Lease Info'!I5</f>
        <v>8.75</v>
      </c>
      <c r="G150" s="75">
        <f>E150*(E149/G149) + F150*(F149/G149)</f>
        <v>6.15</v>
      </c>
      <c r="I150" t="s">
        <v>27</v>
      </c>
    </row>
    <row r="151" spans="2:9" x14ac:dyDescent="0.2">
      <c r="B151" s="17" t="s">
        <v>5</v>
      </c>
      <c r="C151" s="3">
        <f>C149*C150</f>
        <v>618.75</v>
      </c>
      <c r="D151" s="3">
        <f>D149*D150</f>
        <v>433.125</v>
      </c>
      <c r="E151" s="3">
        <f t="shared" ref="E151:F151" si="25">E149*E150</f>
        <v>339.625</v>
      </c>
      <c r="F151" s="3">
        <f t="shared" si="25"/>
        <v>336.875</v>
      </c>
      <c r="G151" s="46">
        <f>G149*G150</f>
        <v>676.5</v>
      </c>
      <c r="I151" t="s">
        <v>41</v>
      </c>
    </row>
    <row r="152" spans="2:9" x14ac:dyDescent="0.2">
      <c r="B152" s="17" t="s">
        <v>13</v>
      </c>
      <c r="C152" s="3">
        <f>IF('Base Lease Info'!$F6='Base Lease Info'!$J$75,$C162,0)</f>
        <v>0</v>
      </c>
      <c r="D152" s="3">
        <f>IF('Base Lease Info'!$F6='Base Lease Info'!$J$75,$C162,0)</f>
        <v>0</v>
      </c>
      <c r="E152" s="3">
        <f>IF('Base Lease Info'!$F6='Base Lease Info'!$J$75,$C162,0)</f>
        <v>0</v>
      </c>
      <c r="F152" s="3">
        <f>IF('Base Lease Info'!$F6='Base Lease Info'!$J$75,$C162,0)</f>
        <v>0</v>
      </c>
      <c r="G152" s="39">
        <f>IF('Base Lease Info'!$F6='Base Lease Info'!$J$75,$C162,0)</f>
        <v>0</v>
      </c>
      <c r="I152" s="25" t="s">
        <v>63</v>
      </c>
    </row>
    <row r="153" spans="2:9" x14ac:dyDescent="0.2">
      <c r="B153" s="27" t="s">
        <v>107</v>
      </c>
      <c r="C153" s="6">
        <f>'Base Lease Info'!E80</f>
        <v>0</v>
      </c>
      <c r="D153" s="6">
        <f>'Base Lease Info'!F80</f>
        <v>0</v>
      </c>
      <c r="E153" s="6">
        <f>'Base Lease Info'!G80</f>
        <v>0</v>
      </c>
      <c r="F153" s="6">
        <f>'Base Lease Info'!H80</f>
        <v>0</v>
      </c>
      <c r="G153" s="38">
        <f>'Base Lease Info'!I80</f>
        <v>0</v>
      </c>
      <c r="I153" s="25"/>
    </row>
    <row r="154" spans="2:9" x14ac:dyDescent="0.2">
      <c r="B154" s="24" t="s">
        <v>43</v>
      </c>
      <c r="C154" s="14">
        <f>SUM(C151:C153)</f>
        <v>618.75</v>
      </c>
      <c r="D154" s="14">
        <f t="shared" ref="D154:G154" si="26">SUM(D151:D153)</f>
        <v>433.125</v>
      </c>
      <c r="E154" s="14">
        <f t="shared" si="26"/>
        <v>339.625</v>
      </c>
      <c r="F154" s="14">
        <f t="shared" si="26"/>
        <v>336.875</v>
      </c>
      <c r="G154" s="76">
        <f t="shared" si="26"/>
        <v>676.5</v>
      </c>
      <c r="I154" t="s">
        <v>42</v>
      </c>
    </row>
    <row r="155" spans="2:9" x14ac:dyDescent="0.2">
      <c r="B155" s="24"/>
      <c r="C155" s="14"/>
      <c r="D155" s="14"/>
      <c r="E155" s="14"/>
      <c r="F155" s="14"/>
      <c r="G155" s="76"/>
    </row>
    <row r="156" spans="2:9" x14ac:dyDescent="0.2">
      <c r="B156" s="40" t="s">
        <v>79</v>
      </c>
      <c r="C156" s="14"/>
      <c r="D156" s="14"/>
      <c r="E156" s="14"/>
      <c r="F156" s="14"/>
      <c r="G156" s="76"/>
    </row>
    <row r="157" spans="2:9" x14ac:dyDescent="0.2">
      <c r="B157" s="27" t="s">
        <v>81</v>
      </c>
      <c r="C157" s="95">
        <f>'Base Lease Info'!E83</f>
        <v>0.8</v>
      </c>
      <c r="D157" s="96"/>
      <c r="E157" s="96"/>
      <c r="F157" s="4"/>
      <c r="G157" s="37"/>
    </row>
    <row r="158" spans="2:9" x14ac:dyDescent="0.2">
      <c r="B158" s="27" t="s">
        <v>80</v>
      </c>
      <c r="C158" s="95">
        <f>'Base Lease Info'!E84</f>
        <v>0.5</v>
      </c>
      <c r="D158" s="95">
        <f>'Base Lease Info'!F84</f>
        <v>0.4</v>
      </c>
      <c r="E158" s="95">
        <f>'Base Lease Info'!G84</f>
        <v>9.9999999999999978E-2</v>
      </c>
      <c r="F158" s="3"/>
      <c r="G158" s="39"/>
    </row>
    <row r="159" spans="2:9" x14ac:dyDescent="0.2">
      <c r="B159" s="27" t="s">
        <v>82</v>
      </c>
      <c r="C159" s="93">
        <f>'Base Lease Info'!E85</f>
        <v>3.7</v>
      </c>
      <c r="D159" s="93">
        <f>'Base Lease Info'!F85</f>
        <v>8.4</v>
      </c>
      <c r="E159" s="93">
        <f>'Base Lease Info'!G85</f>
        <v>5.5</v>
      </c>
      <c r="F159" s="3"/>
      <c r="G159" s="39"/>
    </row>
    <row r="160" spans="2:9" x14ac:dyDescent="0.2">
      <c r="B160" s="27" t="s">
        <v>83</v>
      </c>
      <c r="C160" s="97">
        <f>'Base Lease Info'!E86</f>
        <v>155</v>
      </c>
      <c r="D160" s="97">
        <f>'Base Lease Info'!F86</f>
        <v>48</v>
      </c>
      <c r="E160" s="97">
        <f>'Base Lease Info'!G86</f>
        <v>60</v>
      </c>
      <c r="F160" s="28"/>
      <c r="G160" s="77"/>
    </row>
    <row r="161" spans="2:9" x14ac:dyDescent="0.2">
      <c r="B161" s="27" t="s">
        <v>84</v>
      </c>
      <c r="C161" s="3">
        <f>IF(C150&lt;C159,(C159-C150)*C160*0.85,0)</f>
        <v>0</v>
      </c>
      <c r="D161" s="3">
        <f t="shared" ref="D161:E161" si="27">IF(D150&lt;D159,(D159-D150)*D160*0.85,0)</f>
        <v>0</v>
      </c>
      <c r="E161" s="3">
        <f t="shared" si="27"/>
        <v>38.25</v>
      </c>
      <c r="F161" s="28"/>
      <c r="G161" s="77"/>
    </row>
    <row r="162" spans="2:9" x14ac:dyDescent="0.2">
      <c r="B162" s="27" t="s">
        <v>85</v>
      </c>
      <c r="C162" s="320">
        <f>(C161*C158+D161*D158+E161*E158)*C157</f>
        <v>3.0599999999999996</v>
      </c>
      <c r="D162" s="321"/>
      <c r="E162" s="322"/>
      <c r="F162" s="3"/>
      <c r="G162" s="39"/>
    </row>
    <row r="163" spans="2:9" x14ac:dyDescent="0.2">
      <c r="B163" s="27"/>
      <c r="C163" s="29"/>
      <c r="D163" s="3"/>
      <c r="E163" s="3"/>
      <c r="F163" s="3"/>
      <c r="G163" s="39"/>
    </row>
    <row r="164" spans="2:9" x14ac:dyDescent="0.2">
      <c r="B164" s="17"/>
      <c r="C164" s="2"/>
      <c r="D164" s="2"/>
      <c r="E164" s="2"/>
      <c r="F164" s="2"/>
      <c r="G164" s="78"/>
    </row>
    <row r="165" spans="2:9" x14ac:dyDescent="0.2">
      <c r="B165" s="16" t="s">
        <v>1</v>
      </c>
      <c r="C165" s="2"/>
      <c r="D165" s="2"/>
      <c r="E165" s="2"/>
      <c r="F165" s="2"/>
      <c r="G165" s="78"/>
    </row>
    <row r="166" spans="2:9" x14ac:dyDescent="0.2">
      <c r="B166" s="17" t="s">
        <v>2</v>
      </c>
      <c r="C166" s="3">
        <f>'Base Lease Info'!F25</f>
        <v>275</v>
      </c>
      <c r="D166" s="3">
        <f>'Base Lease Info'!G25</f>
        <v>150</v>
      </c>
      <c r="E166" s="3">
        <f>'Base Lease Info'!H25</f>
        <v>140</v>
      </c>
      <c r="F166" s="3">
        <f>'Base Lease Info'!I25</f>
        <v>150</v>
      </c>
      <c r="G166" s="39">
        <f>E166+F166</f>
        <v>290</v>
      </c>
      <c r="I166" t="s">
        <v>45</v>
      </c>
    </row>
    <row r="167" spans="2:9" x14ac:dyDescent="0.2">
      <c r="B167" s="17" t="s">
        <v>6</v>
      </c>
      <c r="C167" s="3">
        <f>'Base Lease Info'!F26</f>
        <v>140</v>
      </c>
      <c r="D167" s="3">
        <f>'Base Lease Info'!G26</f>
        <v>90</v>
      </c>
      <c r="E167" s="3">
        <f>'Base Lease Info'!H26</f>
        <v>90</v>
      </c>
      <c r="F167" s="3">
        <f>'Base Lease Info'!I26</f>
        <v>85</v>
      </c>
      <c r="G167" s="39">
        <f t="shared" ref="G167:G168" si="28">E167+F167</f>
        <v>175</v>
      </c>
      <c r="I167" t="s">
        <v>46</v>
      </c>
    </row>
    <row r="168" spans="2:9" x14ac:dyDescent="0.2">
      <c r="B168" s="17" t="s">
        <v>3</v>
      </c>
      <c r="C168" s="3">
        <f>'Base Lease Info'!F27</f>
        <v>60</v>
      </c>
      <c r="D168" s="3">
        <f>'Base Lease Info'!G27</f>
        <v>40</v>
      </c>
      <c r="E168" s="3">
        <f>'Base Lease Info'!H27</f>
        <v>40</v>
      </c>
      <c r="F168" s="3">
        <f>'Base Lease Info'!I27</f>
        <v>40</v>
      </c>
      <c r="G168" s="39">
        <f t="shared" si="28"/>
        <v>80</v>
      </c>
      <c r="I168" t="s">
        <v>47</v>
      </c>
    </row>
    <row r="169" spans="2:9" x14ac:dyDescent="0.2">
      <c r="B169" s="18" t="s">
        <v>4</v>
      </c>
      <c r="C169" s="6">
        <f>$C144</f>
        <v>216.5625</v>
      </c>
      <c r="D169" s="6">
        <f>D144</f>
        <v>173.25</v>
      </c>
      <c r="E169" s="6">
        <f>E144</f>
        <v>118.86874999999999</v>
      </c>
      <c r="F169" s="6">
        <f>F144</f>
        <v>117.90624999999999</v>
      </c>
      <c r="G169" s="38">
        <f>G144</f>
        <v>236.77499999999998</v>
      </c>
      <c r="I169" t="s">
        <v>60</v>
      </c>
    </row>
    <row r="170" spans="2:9" x14ac:dyDescent="0.2">
      <c r="B170" s="24" t="s">
        <v>44</v>
      </c>
      <c r="C170" s="14">
        <f>SUM(C166:C169)</f>
        <v>691.5625</v>
      </c>
      <c r="D170" s="14">
        <f>SUM(D166:D169)</f>
        <v>453.25</v>
      </c>
      <c r="E170" s="14">
        <f t="shared" ref="E170" si="29">SUM(E166:E169)</f>
        <v>388.86874999999998</v>
      </c>
      <c r="F170" s="14">
        <f>SUM(F166:F169)</f>
        <v>392.90625</v>
      </c>
      <c r="G170" s="39">
        <f>SUM(G166:G169)</f>
        <v>781.77499999999998</v>
      </c>
      <c r="I170" t="s">
        <v>61</v>
      </c>
    </row>
    <row r="171" spans="2:9" x14ac:dyDescent="0.2">
      <c r="B171" s="17"/>
      <c r="C171" s="2"/>
      <c r="D171" s="2"/>
      <c r="E171" s="2"/>
      <c r="F171" s="2"/>
      <c r="G171" s="78"/>
    </row>
    <row r="172" spans="2:9" x14ac:dyDescent="0.2">
      <c r="B172" s="17" t="s">
        <v>8</v>
      </c>
      <c r="C172" s="3">
        <f>C154</f>
        <v>618.75</v>
      </c>
      <c r="D172" s="3">
        <f t="shared" ref="D172:G172" si="30">D154</f>
        <v>433.125</v>
      </c>
      <c r="E172" s="3">
        <f t="shared" si="30"/>
        <v>339.625</v>
      </c>
      <c r="F172" s="3">
        <f t="shared" si="30"/>
        <v>336.875</v>
      </c>
      <c r="G172" s="39">
        <f t="shared" si="30"/>
        <v>676.5</v>
      </c>
      <c r="I172" s="25" t="s">
        <v>67</v>
      </c>
    </row>
    <row r="173" spans="2:9" x14ac:dyDescent="0.2">
      <c r="B173" s="17" t="s">
        <v>9</v>
      </c>
      <c r="C173" s="5">
        <f>SUM(C166:C169)</f>
        <v>691.5625</v>
      </c>
      <c r="D173" s="5">
        <f t="shared" ref="D173:G173" si="31">SUM(D166:D169)</f>
        <v>453.25</v>
      </c>
      <c r="E173" s="5">
        <f t="shared" si="31"/>
        <v>388.86874999999998</v>
      </c>
      <c r="F173" s="5">
        <f t="shared" si="31"/>
        <v>392.90625</v>
      </c>
      <c r="G173" s="85">
        <f t="shared" si="31"/>
        <v>781.77499999999998</v>
      </c>
    </row>
    <row r="174" spans="2:9" x14ac:dyDescent="0.2">
      <c r="B174" s="21" t="s">
        <v>7</v>
      </c>
      <c r="C174" s="10">
        <f>C172-C173</f>
        <v>-72.8125</v>
      </c>
      <c r="D174" s="10">
        <f>D172-D173</f>
        <v>-20.125</v>
      </c>
      <c r="E174" s="10">
        <f>E172-E173</f>
        <v>-49.243749999999977</v>
      </c>
      <c r="F174" s="10">
        <f t="shared" ref="F174:G174" si="32">F172-F173</f>
        <v>-56.03125</v>
      </c>
      <c r="G174" s="36">
        <f t="shared" si="32"/>
        <v>-105.27499999999998</v>
      </c>
      <c r="I174" t="s">
        <v>50</v>
      </c>
    </row>
    <row r="175" spans="2:9" ht="13.5" thickBot="1" x14ac:dyDescent="0.25">
      <c r="B175" s="22" t="s">
        <v>25</v>
      </c>
      <c r="C175" s="328">
        <f>IF('Base Lease Info'!F12='Base Lease Info'!L76,C174*'Base Lease Info'!F8 + D174*'Base Lease Info'!G8 + E174*'Base Lease Info'!H8 + F174*'Base Lease Info'!H8,C174*'Base Lease Info'!F8 + D174*'Base Lease Info'!G8 + G174*'Base Lease Info'!J8)</f>
        <v>-67.756249999999994</v>
      </c>
      <c r="D175" s="329"/>
      <c r="E175" s="329"/>
      <c r="F175" s="329"/>
      <c r="G175" s="330"/>
      <c r="I175" t="s">
        <v>51</v>
      </c>
    </row>
    <row r="176" spans="2:9" ht="13.5" thickTop="1" x14ac:dyDescent="0.2"/>
    <row r="177" spans="2:2" x14ac:dyDescent="0.2">
      <c r="B177" s="1" t="s">
        <v>59</v>
      </c>
    </row>
  </sheetData>
  <mergeCells count="36">
    <mergeCell ref="C13:G13"/>
    <mergeCell ref="B2:G2"/>
    <mergeCell ref="C3:D3"/>
    <mergeCell ref="C4:G4"/>
    <mergeCell ref="C5:G5"/>
    <mergeCell ref="C6:G6"/>
    <mergeCell ref="C86:G86"/>
    <mergeCell ref="C14:G14"/>
    <mergeCell ref="C30:E30"/>
    <mergeCell ref="C43:G43"/>
    <mergeCell ref="B48:G48"/>
    <mergeCell ref="C49:D49"/>
    <mergeCell ref="C50:G50"/>
    <mergeCell ref="C51:G51"/>
    <mergeCell ref="C52:G52"/>
    <mergeCell ref="C56:G56"/>
    <mergeCell ref="C57:G57"/>
    <mergeCell ref="C73:E73"/>
    <mergeCell ref="C138:D138"/>
    <mergeCell ref="B91:G91"/>
    <mergeCell ref="C92:D92"/>
    <mergeCell ref="C93:G93"/>
    <mergeCell ref="C94:G94"/>
    <mergeCell ref="C95:G95"/>
    <mergeCell ref="C102:G102"/>
    <mergeCell ref="C103:G103"/>
    <mergeCell ref="C119:E119"/>
    <mergeCell ref="C132:G132"/>
    <mergeCell ref="B137:G137"/>
    <mergeCell ref="C175:G175"/>
    <mergeCell ref="C139:G139"/>
    <mergeCell ref="C140:G140"/>
    <mergeCell ref="C141:G141"/>
    <mergeCell ref="C145:G145"/>
    <mergeCell ref="C146:G146"/>
    <mergeCell ref="C162:E162"/>
  </mergeCells>
  <pageMargins left="0.75" right="0.75" top="1" bottom="1" header="0.5" footer="0.5"/>
  <pageSetup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77"/>
  <sheetViews>
    <sheetView showGridLines="0" zoomScale="115" zoomScaleNormal="115" workbookViewId="0">
      <selection activeCell="F150" sqref="F150"/>
    </sheetView>
  </sheetViews>
  <sheetFormatPr defaultRowHeight="12.75" x14ac:dyDescent="0.2"/>
  <cols>
    <col min="1" max="1" width="2.42578125" customWidth="1"/>
    <col min="2" max="2" width="38.85546875" customWidth="1"/>
    <col min="3" max="3" width="12.140625" bestFit="1" customWidth="1"/>
    <col min="4" max="7" width="9.7109375" customWidth="1"/>
    <col min="8" max="8" width="3.42578125" customWidth="1"/>
    <col min="9" max="9" width="59.28515625" customWidth="1"/>
  </cols>
  <sheetData>
    <row r="1" spans="2:10" ht="13.5" thickBot="1" x14ac:dyDescent="0.25"/>
    <row r="2" spans="2:10" ht="17.25" thickTop="1" thickBot="1" x14ac:dyDescent="0.3">
      <c r="B2" s="334" t="s">
        <v>102</v>
      </c>
      <c r="C2" s="335"/>
      <c r="D2" s="335"/>
      <c r="E2" s="335"/>
      <c r="F2" s="335"/>
      <c r="G2" s="336"/>
      <c r="I2" s="7"/>
    </row>
    <row r="3" spans="2:10" ht="13.5" thickTop="1" x14ac:dyDescent="0.2">
      <c r="B3" s="68" t="s">
        <v>14</v>
      </c>
      <c r="C3" s="337"/>
      <c r="D3" s="337"/>
      <c r="E3" s="131"/>
      <c r="F3" s="131"/>
      <c r="G3" s="69"/>
      <c r="I3" s="7" t="s">
        <v>18</v>
      </c>
    </row>
    <row r="4" spans="2:10" x14ac:dyDescent="0.2">
      <c r="B4" s="17" t="s">
        <v>31</v>
      </c>
      <c r="C4" s="331">
        <f>'Base Lease Info'!F21</f>
        <v>150</v>
      </c>
      <c r="D4" s="332"/>
      <c r="E4" s="332"/>
      <c r="F4" s="332"/>
      <c r="G4" s="333"/>
      <c r="I4" s="7"/>
    </row>
    <row r="5" spans="2:10" x14ac:dyDescent="0.2">
      <c r="B5" s="17" t="s">
        <v>10</v>
      </c>
      <c r="C5" s="338">
        <f>'Base Lease Info'!F10</f>
        <v>125</v>
      </c>
      <c r="D5" s="339"/>
      <c r="E5" s="339"/>
      <c r="F5" s="339"/>
      <c r="G5" s="340"/>
      <c r="H5" s="15"/>
      <c r="I5" s="11"/>
    </row>
    <row r="6" spans="2:10" x14ac:dyDescent="0.2">
      <c r="B6" s="17" t="s">
        <v>32</v>
      </c>
      <c r="C6" s="331" t="str">
        <f>'Base Lease Info'!F11</f>
        <v>No</v>
      </c>
      <c r="D6" s="332"/>
      <c r="E6" s="332"/>
      <c r="F6" s="332"/>
      <c r="G6" s="333"/>
      <c r="H6" s="15"/>
      <c r="I6" s="11" t="s">
        <v>62</v>
      </c>
    </row>
    <row r="7" spans="2:10" x14ac:dyDescent="0.2">
      <c r="B7" s="17"/>
      <c r="C7" s="12" t="s">
        <v>22</v>
      </c>
      <c r="D7" s="12" t="s">
        <v>23</v>
      </c>
      <c r="E7" s="12" t="s">
        <v>73</v>
      </c>
      <c r="F7" s="12" t="s">
        <v>74</v>
      </c>
      <c r="G7" s="35" t="s">
        <v>76</v>
      </c>
      <c r="H7" s="15"/>
      <c r="I7" s="11"/>
    </row>
    <row r="8" spans="2:10" x14ac:dyDescent="0.2">
      <c r="B8" s="17" t="s">
        <v>28</v>
      </c>
      <c r="C8" s="13">
        <f>SUM('Base Lease Info'!F25:F27) + $C5</f>
        <v>600</v>
      </c>
      <c r="D8" s="13">
        <f>SUM('Base Lease Info'!G25:G27) + $C5</f>
        <v>405</v>
      </c>
      <c r="E8" s="13">
        <f>SUM('Base Lease Info'!H25:H27) + $C5</f>
        <v>395</v>
      </c>
      <c r="F8" s="13">
        <f>SUM('Base Lease Info'!I25:I27) + $C5</f>
        <v>400</v>
      </c>
      <c r="G8" s="70">
        <f>E8+F8</f>
        <v>795</v>
      </c>
      <c r="H8" s="15"/>
      <c r="I8" s="11" t="s">
        <v>54</v>
      </c>
    </row>
    <row r="9" spans="2:10" x14ac:dyDescent="0.2">
      <c r="B9" s="17" t="s">
        <v>11</v>
      </c>
      <c r="C9" s="30">
        <f>'Base Lease Info'!F16</f>
        <v>475</v>
      </c>
      <c r="D9" s="30">
        <f>'Base Lease Info'!G16</f>
        <v>325</v>
      </c>
      <c r="E9" s="30">
        <f>'Base Lease Info'!H16</f>
        <v>325</v>
      </c>
      <c r="F9" s="30">
        <f>'Base Lease Info'!I16</f>
        <v>250</v>
      </c>
      <c r="G9" s="70">
        <f>E9+F9</f>
        <v>575</v>
      </c>
      <c r="I9" s="11" t="s">
        <v>38</v>
      </c>
      <c r="J9" s="1"/>
    </row>
    <row r="10" spans="2:10" x14ac:dyDescent="0.2">
      <c r="B10" s="18" t="s">
        <v>12</v>
      </c>
      <c r="C10" s="31">
        <f>'Base Lease Info'!F17</f>
        <v>0.35</v>
      </c>
      <c r="D10" s="31">
        <f>'Base Lease Info'!G17</f>
        <v>0.4</v>
      </c>
      <c r="E10" s="31">
        <f>'Base Lease Info'!H17</f>
        <v>0.35</v>
      </c>
      <c r="F10" s="31">
        <f>'Base Lease Info'!I17</f>
        <v>0.35</v>
      </c>
      <c r="G10" s="71">
        <f>E10*(E17/G17) + F10*(F17/G17)</f>
        <v>0.35</v>
      </c>
      <c r="H10" s="15"/>
      <c r="I10" s="11" t="s">
        <v>39</v>
      </c>
    </row>
    <row r="11" spans="2:10" x14ac:dyDescent="0.2">
      <c r="B11" s="18" t="s">
        <v>55</v>
      </c>
      <c r="C11" s="10">
        <f>IF($C6='Base Lease Info'!$J$75,(C19+C20-C9)*C10,IF((C19 + C20) &gt; C9,(C19+C20-C9)*C10,0))</f>
        <v>56.874999999999993</v>
      </c>
      <c r="D11" s="10">
        <f>IF($C6='Base Lease Info'!$J$75,(D19+D20-D9)*D10,IF((D19 + D20) &gt; D9,(D19+D20-D9)*D10,0))</f>
        <v>48.500000000000028</v>
      </c>
      <c r="E11" s="10">
        <f>IF($C6='Base Lease Info'!$J$75,(E19+E20-E9)*E10,IF((E19 + E20) &gt; E9,(E19+E20-E9)*E10,0))</f>
        <v>8.720833333333319</v>
      </c>
      <c r="F11" s="10">
        <f>IF($C6='Base Lease Info'!$J$75,(F19+F20-F9)*F10,IF((F19 + F20) &gt; F9,(F19+F20-F9)*F10,0))</f>
        <v>33.979166666666679</v>
      </c>
      <c r="G11" s="36">
        <f>IF($C6='Base Lease Info'!$J$75,(G19+G20-G9)*G10,IF((G19 + G20) &gt; G9,(G19+G20-G9)*G10,0))</f>
        <v>42.700000000000038</v>
      </c>
      <c r="H11" s="15"/>
      <c r="I11" s="11" t="s">
        <v>57</v>
      </c>
    </row>
    <row r="12" spans="2:10" ht="15.75" x14ac:dyDescent="0.25">
      <c r="B12" s="19" t="s">
        <v>56</v>
      </c>
      <c r="C12" s="9">
        <f>IF($C6='Base Lease Info'!$J$75,$C5+(C19+C20-C9)*C10,IF((C19 + C20) &gt; C9,$C5+(C19+C20-C9)*C10,$C5))</f>
        <v>181.875</v>
      </c>
      <c r="D12" s="9">
        <f>IF($C6='Base Lease Info'!$J$75,$C5+(D19+D20-D9)*D10,IF((D19 + D20) &gt; D9,$C5+(D19+D20-D9)*D10,$C5))</f>
        <v>173.50000000000003</v>
      </c>
      <c r="E12" s="9">
        <f>IF($C6='Base Lease Info'!$J$75,$C5/2+(E19+E20-E9)*E10,IF((E19 + E20) &gt; E9,$C5/2+(E19+E20-E9)*E10,$C5/2))</f>
        <v>71.220833333333317</v>
      </c>
      <c r="F12" s="9">
        <f>IF($C6='Base Lease Info'!$J$75,$C5/2+(F19+F20-F9)*F10,IF((F19 + F20) &gt; F9,$C5/2+(F19+F20-F9)*F10,$C5/2))</f>
        <v>96.479166666666686</v>
      </c>
      <c r="G12" s="72">
        <f>IF($C6='Base Lease Info'!$J$75,$C5+(G19+G20-G9)*G10,IF((G19 + G20) &gt; G9,$C5+(G19+G20-G9)*G10,$C5))</f>
        <v>167.70000000000005</v>
      </c>
      <c r="I12" t="s">
        <v>40</v>
      </c>
    </row>
    <row r="13" spans="2:10" ht="15.75" x14ac:dyDescent="0.25">
      <c r="B13" s="19" t="s">
        <v>58</v>
      </c>
      <c r="C13" s="323">
        <f>IF('Base Lease Info'!F12='Base Lease Info'!L75,C12*'Base Lease Info'!F8 + D12*'Base Lease Info'!G8 + G12*'Base Lease Info'!J8, C12*'Base Lease Info'!F8 + D12*'Base Lease Info'!G8 + E12*'Base Lease Info'!H8 + F12*'Base Lease Info'!H8)</f>
        <v>176.23750000000001</v>
      </c>
      <c r="D13" s="323"/>
      <c r="E13" s="323"/>
      <c r="F13" s="323"/>
      <c r="G13" s="324"/>
      <c r="I13" t="s">
        <v>48</v>
      </c>
    </row>
    <row r="14" spans="2:10" x14ac:dyDescent="0.2">
      <c r="B14" s="17" t="s">
        <v>19</v>
      </c>
      <c r="C14" s="325">
        <f>C13/$C4-1</f>
        <v>0.17491666666666683</v>
      </c>
      <c r="D14" s="326"/>
      <c r="E14" s="326"/>
      <c r="F14" s="326"/>
      <c r="G14" s="327"/>
      <c r="I14" t="s">
        <v>49</v>
      </c>
    </row>
    <row r="15" spans="2:10" x14ac:dyDescent="0.2">
      <c r="B15" s="17"/>
      <c r="C15" s="8"/>
      <c r="D15" s="8"/>
      <c r="E15" s="8"/>
      <c r="F15" s="8"/>
      <c r="G15" s="73"/>
    </row>
    <row r="16" spans="2:10" x14ac:dyDescent="0.2">
      <c r="B16" s="20" t="s">
        <v>20</v>
      </c>
      <c r="C16" s="12" t="s">
        <v>22</v>
      </c>
      <c r="D16" s="12" t="s">
        <v>23</v>
      </c>
      <c r="E16" s="12" t="s">
        <v>73</v>
      </c>
      <c r="F16" s="12" t="s">
        <v>74</v>
      </c>
      <c r="G16" s="35" t="s">
        <v>76</v>
      </c>
    </row>
    <row r="17" spans="2:9" x14ac:dyDescent="0.2">
      <c r="B17" s="17" t="s">
        <v>0</v>
      </c>
      <c r="C17" s="32">
        <f>'Base Lease Info'!F4</f>
        <v>150</v>
      </c>
      <c r="D17" s="32">
        <f>'Base Lease Info'!G4</f>
        <v>45</v>
      </c>
      <c r="E17" s="32">
        <f>'Base Lease Info'!H4</f>
        <v>65</v>
      </c>
      <c r="F17" s="32">
        <f>'Base Lease Info'!I4</f>
        <v>35</v>
      </c>
      <c r="G17" s="74">
        <f>E17+F17</f>
        <v>100</v>
      </c>
      <c r="I17" t="s">
        <v>26</v>
      </c>
    </row>
    <row r="18" spans="2:9" x14ac:dyDescent="0.2">
      <c r="B18" s="17" t="s">
        <v>21</v>
      </c>
      <c r="C18" s="89">
        <f>'Base Lease Info'!B47</f>
        <v>4.25</v>
      </c>
      <c r="D18" s="89">
        <f>'Base Lease Info'!C47</f>
        <v>9.9166666666666679</v>
      </c>
      <c r="E18" s="89">
        <f>'Base Lease Info'!E47</f>
        <v>5.3833333333333329</v>
      </c>
      <c r="F18" s="26">
        <f>D18</f>
        <v>9.9166666666666679</v>
      </c>
      <c r="G18" s="81">
        <f>E18*(E17/G17) + F18*(F17/G17)</f>
        <v>6.9700000000000006</v>
      </c>
      <c r="I18" t="s">
        <v>27</v>
      </c>
    </row>
    <row r="19" spans="2:9" x14ac:dyDescent="0.2">
      <c r="B19" s="17" t="s">
        <v>5</v>
      </c>
      <c r="C19" s="3">
        <f>C17*C18</f>
        <v>637.5</v>
      </c>
      <c r="D19" s="3">
        <f>D17*D18</f>
        <v>446.25000000000006</v>
      </c>
      <c r="E19" s="3">
        <f t="shared" ref="E19:F19" si="0">E17*E18</f>
        <v>349.91666666666663</v>
      </c>
      <c r="F19" s="3">
        <f t="shared" si="0"/>
        <v>347.08333333333337</v>
      </c>
      <c r="G19" s="46">
        <f>G17*G18</f>
        <v>697.00000000000011</v>
      </c>
      <c r="I19" t="s">
        <v>41</v>
      </c>
    </row>
    <row r="20" spans="2:9" x14ac:dyDescent="0.2">
      <c r="B20" s="17" t="s">
        <v>13</v>
      </c>
      <c r="C20" s="3">
        <f>IF('Base Lease Info'!$F6='Base Lease Info'!$J$75,$C30,0)</f>
        <v>0</v>
      </c>
      <c r="D20" s="3">
        <f>IF('Base Lease Info'!$F6='Base Lease Info'!$J$75,$C30,0)</f>
        <v>0</v>
      </c>
      <c r="E20" s="3">
        <f>IF('Base Lease Info'!$F6='Base Lease Info'!$J$75,$C30,0)</f>
        <v>0</v>
      </c>
      <c r="F20" s="3">
        <f>IF('Base Lease Info'!$F6='Base Lease Info'!$J$75,$C30,0)</f>
        <v>0</v>
      </c>
      <c r="G20" s="39">
        <f>IF('Base Lease Info'!$F6='Base Lease Info'!$J$75,$C30,0)</f>
        <v>0</v>
      </c>
      <c r="I20" s="25" t="s">
        <v>63</v>
      </c>
    </row>
    <row r="21" spans="2:9" x14ac:dyDescent="0.2">
      <c r="B21" s="27" t="s">
        <v>107</v>
      </c>
      <c r="C21" s="6">
        <f>'Base Lease Info'!E80</f>
        <v>0</v>
      </c>
      <c r="D21" s="6">
        <f>'Base Lease Info'!F80</f>
        <v>0</v>
      </c>
      <c r="E21" s="6">
        <f>'Base Lease Info'!G80</f>
        <v>0</v>
      </c>
      <c r="F21" s="6">
        <f>'Base Lease Info'!H80</f>
        <v>0</v>
      </c>
      <c r="G21" s="38">
        <f>'Base Lease Info'!I80</f>
        <v>0</v>
      </c>
      <c r="I21" s="25"/>
    </row>
    <row r="22" spans="2:9" x14ac:dyDescent="0.2">
      <c r="B22" s="24" t="s">
        <v>43</v>
      </c>
      <c r="C22" s="14">
        <f>SUM(C19:C21)</f>
        <v>637.5</v>
      </c>
      <c r="D22" s="14">
        <f t="shared" ref="D22:G22" si="1">SUM(D19:D21)</f>
        <v>446.25000000000006</v>
      </c>
      <c r="E22" s="14">
        <f t="shared" si="1"/>
        <v>349.91666666666663</v>
      </c>
      <c r="F22" s="14">
        <f t="shared" si="1"/>
        <v>347.08333333333337</v>
      </c>
      <c r="G22" s="76">
        <f t="shared" si="1"/>
        <v>697.00000000000011</v>
      </c>
      <c r="I22" t="s">
        <v>42</v>
      </c>
    </row>
    <row r="23" spans="2:9" x14ac:dyDescent="0.2">
      <c r="B23" s="24"/>
      <c r="C23" s="14"/>
      <c r="D23" s="14"/>
      <c r="E23" s="14"/>
      <c r="F23" s="14"/>
      <c r="G23" s="76"/>
    </row>
    <row r="24" spans="2:9" x14ac:dyDescent="0.2">
      <c r="B24" s="40" t="s">
        <v>79</v>
      </c>
      <c r="C24" s="14"/>
      <c r="D24" s="14"/>
      <c r="E24" s="14"/>
      <c r="F24" s="14"/>
      <c r="G24" s="76"/>
    </row>
    <row r="25" spans="2:9" x14ac:dyDescent="0.2">
      <c r="B25" s="27" t="s">
        <v>81</v>
      </c>
      <c r="C25" s="95">
        <f>'Base Lease Info'!E83</f>
        <v>0.8</v>
      </c>
      <c r="D25" s="96"/>
      <c r="E25" s="96"/>
      <c r="F25" s="4"/>
      <c r="G25" s="37"/>
    </row>
    <row r="26" spans="2:9" x14ac:dyDescent="0.2">
      <c r="B26" s="27" t="s">
        <v>80</v>
      </c>
      <c r="C26" s="95">
        <f>'Base Lease Info'!E84</f>
        <v>0.5</v>
      </c>
      <c r="D26" s="95">
        <f>'Base Lease Info'!F84</f>
        <v>0.4</v>
      </c>
      <c r="E26" s="95">
        <f>'Base Lease Info'!G84</f>
        <v>9.9999999999999978E-2</v>
      </c>
      <c r="F26" s="3"/>
      <c r="G26" s="39"/>
    </row>
    <row r="27" spans="2:9" x14ac:dyDescent="0.2">
      <c r="B27" s="27" t="s">
        <v>82</v>
      </c>
      <c r="C27" s="93">
        <f>'Base Lease Info'!E85</f>
        <v>3.7</v>
      </c>
      <c r="D27" s="93">
        <f>'Base Lease Info'!F85</f>
        <v>8.4</v>
      </c>
      <c r="E27" s="93">
        <f>'Base Lease Info'!G85</f>
        <v>5.5</v>
      </c>
      <c r="F27" s="3"/>
      <c r="G27" s="39"/>
    </row>
    <row r="28" spans="2:9" x14ac:dyDescent="0.2">
      <c r="B28" s="27" t="s">
        <v>83</v>
      </c>
      <c r="C28" s="97">
        <f>'Base Lease Info'!E86</f>
        <v>155</v>
      </c>
      <c r="D28" s="97">
        <f>'Base Lease Info'!F86</f>
        <v>48</v>
      </c>
      <c r="E28" s="97">
        <f>'Base Lease Info'!G86</f>
        <v>60</v>
      </c>
      <c r="F28" s="28"/>
      <c r="G28" s="77"/>
    </row>
    <row r="29" spans="2:9" x14ac:dyDescent="0.2">
      <c r="B29" s="27" t="s">
        <v>84</v>
      </c>
      <c r="C29" s="94">
        <f>IF(C18&lt;C27,(C27-C18)*C28*0.85,0)</f>
        <v>0</v>
      </c>
      <c r="D29" s="94">
        <f t="shared" ref="D29:E29" si="2">IF(D18&lt;D27,(D27-D18)*D28*0.85,0)</f>
        <v>0</v>
      </c>
      <c r="E29" s="94">
        <f t="shared" si="2"/>
        <v>5.9500000000000242</v>
      </c>
      <c r="F29" s="28"/>
      <c r="G29" s="77"/>
    </row>
    <row r="30" spans="2:9" x14ac:dyDescent="0.2">
      <c r="B30" s="27" t="s">
        <v>85</v>
      </c>
      <c r="C30" s="320">
        <f>(C29*C26+D29*D26+E29*E26)*C25</f>
        <v>0.47600000000000187</v>
      </c>
      <c r="D30" s="321"/>
      <c r="E30" s="322"/>
      <c r="F30" s="3"/>
      <c r="G30" s="39"/>
    </row>
    <row r="31" spans="2:9" x14ac:dyDescent="0.2">
      <c r="B31" s="27"/>
      <c r="C31" s="29"/>
      <c r="D31" s="3"/>
      <c r="E31" s="3"/>
      <c r="F31" s="3"/>
      <c r="G31" s="39"/>
    </row>
    <row r="32" spans="2:9" x14ac:dyDescent="0.2">
      <c r="B32" s="17"/>
      <c r="C32" s="2"/>
      <c r="D32" s="2"/>
      <c r="E32" s="2"/>
      <c r="F32" s="2"/>
      <c r="G32" s="78"/>
    </row>
    <row r="33" spans="2:9" x14ac:dyDescent="0.2">
      <c r="B33" s="16" t="s">
        <v>1</v>
      </c>
      <c r="C33" s="2"/>
      <c r="D33" s="2"/>
      <c r="E33" s="2"/>
      <c r="F33" s="2"/>
      <c r="G33" s="78"/>
    </row>
    <row r="34" spans="2:9" x14ac:dyDescent="0.2">
      <c r="B34" s="17" t="s">
        <v>2</v>
      </c>
      <c r="C34" s="3">
        <f>'Base Lease Info'!F25</f>
        <v>275</v>
      </c>
      <c r="D34" s="3">
        <f>'Base Lease Info'!G25</f>
        <v>150</v>
      </c>
      <c r="E34" s="3">
        <f>'Base Lease Info'!H25</f>
        <v>140</v>
      </c>
      <c r="F34" s="3">
        <f>'Base Lease Info'!I25</f>
        <v>150</v>
      </c>
      <c r="G34" s="39">
        <f>E34+F34</f>
        <v>290</v>
      </c>
      <c r="I34" t="s">
        <v>45</v>
      </c>
    </row>
    <row r="35" spans="2:9" x14ac:dyDescent="0.2">
      <c r="B35" s="17" t="s">
        <v>6</v>
      </c>
      <c r="C35" s="3">
        <f>'Base Lease Info'!F26</f>
        <v>140</v>
      </c>
      <c r="D35" s="3">
        <f>'Base Lease Info'!G26</f>
        <v>90</v>
      </c>
      <c r="E35" s="3">
        <f>'Base Lease Info'!H26</f>
        <v>90</v>
      </c>
      <c r="F35" s="3">
        <f>'Base Lease Info'!I26</f>
        <v>85</v>
      </c>
      <c r="G35" s="39">
        <f t="shared" ref="G35:G36" si="3">E35+F35</f>
        <v>175</v>
      </c>
      <c r="I35" t="s">
        <v>46</v>
      </c>
    </row>
    <row r="36" spans="2:9" x14ac:dyDescent="0.2">
      <c r="B36" s="17" t="s">
        <v>3</v>
      </c>
      <c r="C36" s="3">
        <f>'Base Lease Info'!F27</f>
        <v>60</v>
      </c>
      <c r="D36" s="3">
        <f>'Base Lease Info'!G27</f>
        <v>40</v>
      </c>
      <c r="E36" s="3">
        <f>'Base Lease Info'!H27</f>
        <v>40</v>
      </c>
      <c r="F36" s="3">
        <f>'Base Lease Info'!I27</f>
        <v>40</v>
      </c>
      <c r="G36" s="39">
        <f t="shared" si="3"/>
        <v>80</v>
      </c>
      <c r="I36" t="s">
        <v>47</v>
      </c>
    </row>
    <row r="37" spans="2:9" x14ac:dyDescent="0.2">
      <c r="B37" s="17" t="s">
        <v>4</v>
      </c>
      <c r="C37" s="6">
        <f>$C12</f>
        <v>181.875</v>
      </c>
      <c r="D37" s="6">
        <f>D12</f>
        <v>173.50000000000003</v>
      </c>
      <c r="E37" s="6">
        <f t="shared" ref="E37:F37" si="4">E12</f>
        <v>71.220833333333317</v>
      </c>
      <c r="F37" s="6">
        <f t="shared" si="4"/>
        <v>96.479166666666686</v>
      </c>
      <c r="G37" s="38">
        <f>G12</f>
        <v>167.70000000000005</v>
      </c>
      <c r="I37" t="s">
        <v>60</v>
      </c>
    </row>
    <row r="38" spans="2:9" x14ac:dyDescent="0.2">
      <c r="B38" s="24" t="s">
        <v>44</v>
      </c>
      <c r="C38" s="14">
        <f>SUM(C34:C37)</f>
        <v>656.875</v>
      </c>
      <c r="D38" s="14">
        <f>SUM(D34:D37)</f>
        <v>453.5</v>
      </c>
      <c r="E38" s="14">
        <f t="shared" ref="E38" si="5">SUM(E34:E37)</f>
        <v>341.2208333333333</v>
      </c>
      <c r="F38" s="14">
        <f>SUM(F34:F37)</f>
        <v>371.47916666666669</v>
      </c>
      <c r="G38" s="39">
        <f>SUM(G34:G37)</f>
        <v>712.7</v>
      </c>
      <c r="I38" t="s">
        <v>61</v>
      </c>
    </row>
    <row r="39" spans="2:9" x14ac:dyDescent="0.2">
      <c r="B39" s="17"/>
      <c r="C39" s="2"/>
      <c r="D39" s="2"/>
      <c r="E39" s="2"/>
      <c r="F39" s="2"/>
      <c r="G39" s="78"/>
    </row>
    <row r="40" spans="2:9" x14ac:dyDescent="0.2">
      <c r="B40" s="18" t="s">
        <v>8</v>
      </c>
      <c r="C40" s="3">
        <f>C22</f>
        <v>637.5</v>
      </c>
      <c r="D40" s="3">
        <f t="shared" ref="D40:G40" si="6">D22</f>
        <v>446.25000000000006</v>
      </c>
      <c r="E40" s="3">
        <f t="shared" si="6"/>
        <v>349.91666666666663</v>
      </c>
      <c r="F40" s="3">
        <f t="shared" si="6"/>
        <v>347.08333333333337</v>
      </c>
      <c r="G40" s="39">
        <f t="shared" si="6"/>
        <v>697.00000000000011</v>
      </c>
      <c r="I40" s="25" t="s">
        <v>67</v>
      </c>
    </row>
    <row r="41" spans="2:9" x14ac:dyDescent="0.2">
      <c r="B41" s="17" t="s">
        <v>9</v>
      </c>
      <c r="C41" s="5">
        <f>SUM(C34:C37)</f>
        <v>656.875</v>
      </c>
      <c r="D41" s="5">
        <f>SUM(D34:D37)</f>
        <v>453.5</v>
      </c>
      <c r="E41" s="5">
        <f t="shared" ref="E41" si="7">SUM(E34:E37)</f>
        <v>341.2208333333333</v>
      </c>
      <c r="F41" s="5">
        <f>SUM(F34:F37)</f>
        <v>371.47916666666669</v>
      </c>
      <c r="G41" s="39">
        <f>SUM(G34:G37)</f>
        <v>712.7</v>
      </c>
    </row>
    <row r="42" spans="2:9" x14ac:dyDescent="0.2">
      <c r="B42" s="21" t="s">
        <v>7</v>
      </c>
      <c r="C42" s="10">
        <f>C40-C41</f>
        <v>-19.375</v>
      </c>
      <c r="D42" s="10">
        <f>D40-D41</f>
        <v>-7.2499999999999432</v>
      </c>
      <c r="E42" s="10">
        <f>E40-E41</f>
        <v>8.6958333333333258</v>
      </c>
      <c r="F42" s="10">
        <f t="shared" ref="F42:G42" si="8">F40-F41</f>
        <v>-24.395833333333314</v>
      </c>
      <c r="G42" s="36">
        <f t="shared" si="8"/>
        <v>-15.699999999999932</v>
      </c>
      <c r="I42" t="s">
        <v>50</v>
      </c>
    </row>
    <row r="43" spans="2:9" ht="13.5" thickBot="1" x14ac:dyDescent="0.25">
      <c r="B43" s="22" t="s">
        <v>25</v>
      </c>
      <c r="C43" s="328">
        <f>IF('Base Lease Info'!F12='Base Lease Info'!L76,C42*'Base Lease Info'!F8 + D42*'Base Lease Info'!G8 + E42*'Base Lease Info'!H8 + F42*'Base Lease Info'!H8,C42*'Base Lease Info'!F8 + D42*'Base Lease Info'!G8 + G42*'Base Lease Info'!J8)</f>
        <v>-15.424999999999969</v>
      </c>
      <c r="D43" s="329"/>
      <c r="E43" s="329"/>
      <c r="F43" s="329"/>
      <c r="G43" s="330"/>
      <c r="I43" t="s">
        <v>51</v>
      </c>
    </row>
    <row r="44" spans="2:9" ht="13.5" thickTop="1" x14ac:dyDescent="0.2"/>
    <row r="45" spans="2:9" x14ac:dyDescent="0.2">
      <c r="B45" s="1" t="s">
        <v>59</v>
      </c>
    </row>
    <row r="47" spans="2:9" ht="13.5" customHeight="1" thickBot="1" x14ac:dyDescent="0.25"/>
    <row r="48" spans="2:9" ht="17.25" thickTop="1" thickBot="1" x14ac:dyDescent="0.3">
      <c r="B48" s="334" t="s">
        <v>103</v>
      </c>
      <c r="C48" s="335"/>
      <c r="D48" s="335"/>
      <c r="E48" s="335"/>
      <c r="F48" s="335"/>
      <c r="G48" s="336"/>
      <c r="I48" s="7"/>
    </row>
    <row r="49" spans="2:11" ht="13.5" thickTop="1" x14ac:dyDescent="0.2">
      <c r="B49" s="68" t="s">
        <v>14</v>
      </c>
      <c r="C49" s="337"/>
      <c r="D49" s="337"/>
      <c r="E49" s="131"/>
      <c r="F49" s="131"/>
      <c r="G49" s="69"/>
      <c r="I49" s="7" t="s">
        <v>18</v>
      </c>
    </row>
    <row r="50" spans="2:11" x14ac:dyDescent="0.2">
      <c r="B50" s="17" t="s">
        <v>31</v>
      </c>
      <c r="C50" s="331">
        <f>'Base Lease Info'!F21</f>
        <v>150</v>
      </c>
      <c r="D50" s="332"/>
      <c r="E50" s="332"/>
      <c r="F50" s="332"/>
      <c r="G50" s="333"/>
      <c r="I50" s="7"/>
    </row>
    <row r="51" spans="2:11" x14ac:dyDescent="0.2">
      <c r="B51" s="17" t="s">
        <v>10</v>
      </c>
      <c r="C51" s="338">
        <f>'Base Lease Info'!F10</f>
        <v>125</v>
      </c>
      <c r="D51" s="339"/>
      <c r="E51" s="339"/>
      <c r="F51" s="339"/>
      <c r="G51" s="340"/>
      <c r="H51" s="15"/>
      <c r="I51" s="11"/>
    </row>
    <row r="52" spans="2:11" x14ac:dyDescent="0.2">
      <c r="B52" s="17" t="s">
        <v>32</v>
      </c>
      <c r="C52" s="331" t="str">
        <f>'Base Lease Info'!F11</f>
        <v>No</v>
      </c>
      <c r="D52" s="332"/>
      <c r="E52" s="332"/>
      <c r="F52" s="332"/>
      <c r="G52" s="333"/>
      <c r="H52" s="15"/>
      <c r="I52" s="11" t="s">
        <v>62</v>
      </c>
    </row>
    <row r="53" spans="2:11" x14ac:dyDescent="0.2">
      <c r="B53" s="27"/>
      <c r="C53" s="12" t="s">
        <v>22</v>
      </c>
      <c r="D53" s="12" t="s">
        <v>23</v>
      </c>
      <c r="E53" s="12" t="s">
        <v>73</v>
      </c>
      <c r="F53" s="12" t="s">
        <v>74</v>
      </c>
      <c r="G53" s="35" t="s">
        <v>76</v>
      </c>
      <c r="H53" s="15"/>
      <c r="I53" s="11"/>
    </row>
    <row r="54" spans="2:11" x14ac:dyDescent="0.2">
      <c r="B54" s="80" t="s">
        <v>12</v>
      </c>
      <c r="C54" s="31">
        <f>'Base Lease Info'!F17</f>
        <v>0.35</v>
      </c>
      <c r="D54" s="31">
        <f>'Base Lease Info'!G17</f>
        <v>0.4</v>
      </c>
      <c r="E54" s="31">
        <f>'Base Lease Info'!H17</f>
        <v>0.35</v>
      </c>
      <c r="F54" s="31">
        <f>'Base Lease Info'!I17</f>
        <v>0.35</v>
      </c>
      <c r="G54" s="71">
        <f>E54*(E60/G60) + F54*(F60/G60)</f>
        <v>0.35</v>
      </c>
      <c r="H54" s="15"/>
      <c r="I54" s="11" t="s">
        <v>39</v>
      </c>
    </row>
    <row r="55" spans="2:11" ht="15.75" x14ac:dyDescent="0.25">
      <c r="B55" s="19" t="s">
        <v>91</v>
      </c>
      <c r="C55" s="9">
        <f>IF($C$52='Base Lease Info'!$J$75,C83*C54,IF(C83*C54&gt;$C$51,C83*C54,$C$51))</f>
        <v>223.125</v>
      </c>
      <c r="D55" s="9">
        <f>IF($C$52='Base Lease Info'!$J$75,D83*D54,IF(D83*D54&gt;$C$51,D83*D54,$C$51))</f>
        <v>178.50000000000003</v>
      </c>
      <c r="E55" s="9">
        <f>IF($C$52='Base Lease Info'!$J$75,E83*E54,IF(E83*E54&gt;$C$51/2,E83*E54,$C$51/2))</f>
        <v>122.47083333333332</v>
      </c>
      <c r="F55" s="9">
        <f>IF($C$52='Base Lease Info'!$J$75,F83*F54,IF(F83*F54&gt;$C$51/2,F83*F54,$C$51/2))</f>
        <v>121.47916666666667</v>
      </c>
      <c r="G55" s="72">
        <f>IF($C$52='Base Lease Info'!$J$75,G83*G54,IF(G83*G54&gt;$C$51,G83*G54,$C$51))</f>
        <v>243.95000000000002</v>
      </c>
      <c r="I55" t="s">
        <v>40</v>
      </c>
    </row>
    <row r="56" spans="2:11" ht="15.75" x14ac:dyDescent="0.25">
      <c r="B56" s="19" t="s">
        <v>58</v>
      </c>
      <c r="C56" s="323">
        <f>IF('Base Lease Info'!F12='Base Lease Info'!L75,C55*'Base Lease Info'!F8 + D55*'Base Lease Info'!G8 + G55*'Base Lease Info'!J8, C55*'Base Lease Info'!F8 + D55*'Base Lease Info'!G8 + E55*'Base Lease Info'!H8 + F55*'Base Lease Info'!H8)</f>
        <v>217.17500000000001</v>
      </c>
      <c r="D56" s="323"/>
      <c r="E56" s="323"/>
      <c r="F56" s="323"/>
      <c r="G56" s="324"/>
      <c r="I56" t="s">
        <v>48</v>
      </c>
    </row>
    <row r="57" spans="2:11" x14ac:dyDescent="0.2">
      <c r="B57" s="17" t="s">
        <v>19</v>
      </c>
      <c r="C57" s="325">
        <f>C56/$C50-1</f>
        <v>0.44783333333333331</v>
      </c>
      <c r="D57" s="326"/>
      <c r="E57" s="326"/>
      <c r="F57" s="326"/>
      <c r="G57" s="327"/>
      <c r="I57" t="s">
        <v>49</v>
      </c>
    </row>
    <row r="58" spans="2:11" x14ac:dyDescent="0.2">
      <c r="B58" s="17"/>
      <c r="C58" s="8"/>
      <c r="D58" s="8"/>
      <c r="E58" s="8"/>
      <c r="F58" s="8"/>
      <c r="G58" s="73"/>
    </row>
    <row r="59" spans="2:11" x14ac:dyDescent="0.2">
      <c r="B59" s="20" t="s">
        <v>20</v>
      </c>
      <c r="C59" s="12" t="s">
        <v>22</v>
      </c>
      <c r="D59" s="12" t="s">
        <v>23</v>
      </c>
      <c r="E59" s="12" t="s">
        <v>73</v>
      </c>
      <c r="F59" s="12" t="s">
        <v>74</v>
      </c>
      <c r="G59" s="35" t="s">
        <v>76</v>
      </c>
    </row>
    <row r="60" spans="2:11" x14ac:dyDescent="0.2">
      <c r="B60" s="17" t="s">
        <v>0</v>
      </c>
      <c r="C60" s="32">
        <f>'Base Lease Info'!F4</f>
        <v>150</v>
      </c>
      <c r="D60" s="32">
        <f>'Base Lease Info'!G4</f>
        <v>45</v>
      </c>
      <c r="E60" s="32">
        <f>'Base Lease Info'!H4</f>
        <v>65</v>
      </c>
      <c r="F60" s="32">
        <f>'Base Lease Info'!I4</f>
        <v>35</v>
      </c>
      <c r="G60" s="74">
        <f>E60+F60</f>
        <v>100</v>
      </c>
      <c r="I60" t="s">
        <v>26</v>
      </c>
      <c r="K60" s="82"/>
    </row>
    <row r="61" spans="2:11" x14ac:dyDescent="0.2">
      <c r="B61" s="17" t="s">
        <v>21</v>
      </c>
      <c r="C61" s="89">
        <f>'Base Lease Info'!B47</f>
        <v>4.25</v>
      </c>
      <c r="D61" s="89">
        <f>'Base Lease Info'!C47</f>
        <v>9.9166666666666679</v>
      </c>
      <c r="E61" s="89">
        <f>'Base Lease Info'!E47</f>
        <v>5.3833333333333329</v>
      </c>
      <c r="F61" s="26">
        <f>D61</f>
        <v>9.9166666666666679</v>
      </c>
      <c r="G61" s="75">
        <f>E61*(E60/G60) + F61*(F60/G60)</f>
        <v>6.9700000000000006</v>
      </c>
      <c r="I61" t="s">
        <v>27</v>
      </c>
    </row>
    <row r="62" spans="2:11" x14ac:dyDescent="0.2">
      <c r="B62" s="17" t="s">
        <v>5</v>
      </c>
      <c r="C62" s="3">
        <f>C60*C61</f>
        <v>637.5</v>
      </c>
      <c r="D62" s="3">
        <f>D60*D61</f>
        <v>446.25000000000006</v>
      </c>
      <c r="E62" s="3">
        <f t="shared" ref="E62:F62" si="9">E60*E61</f>
        <v>349.91666666666663</v>
      </c>
      <c r="F62" s="3">
        <f t="shared" si="9"/>
        <v>347.08333333333337</v>
      </c>
      <c r="G62" s="46">
        <f>G60*G61</f>
        <v>697.00000000000011</v>
      </c>
      <c r="I62" t="s">
        <v>41</v>
      </c>
    </row>
    <row r="63" spans="2:11" x14ac:dyDescent="0.2">
      <c r="B63" s="17" t="s">
        <v>13</v>
      </c>
      <c r="C63" s="3">
        <f>IF('Base Lease Info'!$F6='Base Lease Info'!$J$75,$C73,0)</f>
        <v>0</v>
      </c>
      <c r="D63" s="3">
        <f>IF('Base Lease Info'!$F6='Base Lease Info'!$J$75,$C73,0)</f>
        <v>0</v>
      </c>
      <c r="E63" s="3">
        <f>IF('Base Lease Info'!$F6='Base Lease Info'!$J$75,$C73,0)</f>
        <v>0</v>
      </c>
      <c r="F63" s="3">
        <f>IF('Base Lease Info'!$F6='Base Lease Info'!$J$75,$C73,0)</f>
        <v>0</v>
      </c>
      <c r="G63" s="39">
        <f>IF('Base Lease Info'!$F6='Base Lease Info'!$J$75,$C73,0)</f>
        <v>0</v>
      </c>
      <c r="I63" s="25" t="s">
        <v>63</v>
      </c>
    </row>
    <row r="64" spans="2:11" x14ac:dyDescent="0.2">
      <c r="B64" s="27" t="s">
        <v>107</v>
      </c>
      <c r="C64" s="6">
        <f>'Base Lease Info'!E80</f>
        <v>0</v>
      </c>
      <c r="D64" s="6">
        <f>'Base Lease Info'!F80</f>
        <v>0</v>
      </c>
      <c r="E64" s="6">
        <f>'Base Lease Info'!G80</f>
        <v>0</v>
      </c>
      <c r="F64" s="6">
        <f>'Base Lease Info'!H80</f>
        <v>0</v>
      </c>
      <c r="G64" s="38">
        <f>'Base Lease Info'!I80</f>
        <v>0</v>
      </c>
      <c r="I64" s="25"/>
    </row>
    <row r="65" spans="2:9" x14ac:dyDescent="0.2">
      <c r="B65" s="24" t="s">
        <v>43</v>
      </c>
      <c r="C65" s="14">
        <f>SUM(C62:C64)</f>
        <v>637.5</v>
      </c>
      <c r="D65" s="14">
        <f t="shared" ref="D65:G65" si="10">SUM(D62:D64)</f>
        <v>446.25000000000006</v>
      </c>
      <c r="E65" s="14">
        <f t="shared" si="10"/>
        <v>349.91666666666663</v>
      </c>
      <c r="F65" s="14">
        <f>SUM(F62:F64)</f>
        <v>347.08333333333337</v>
      </c>
      <c r="G65" s="76">
        <f t="shared" si="10"/>
        <v>697.00000000000011</v>
      </c>
      <c r="I65" t="s">
        <v>42</v>
      </c>
    </row>
    <row r="66" spans="2:9" x14ac:dyDescent="0.2">
      <c r="B66" s="24"/>
      <c r="C66" s="14"/>
      <c r="D66" s="14"/>
      <c r="E66" s="14"/>
      <c r="F66" s="14"/>
      <c r="G66" s="76"/>
    </row>
    <row r="67" spans="2:9" x14ac:dyDescent="0.2">
      <c r="B67" s="40" t="s">
        <v>79</v>
      </c>
      <c r="C67" s="14"/>
      <c r="D67" s="14"/>
      <c r="E67" s="14"/>
      <c r="F67" s="14"/>
      <c r="G67" s="76"/>
    </row>
    <row r="68" spans="2:9" x14ac:dyDescent="0.2">
      <c r="B68" s="27" t="s">
        <v>81</v>
      </c>
      <c r="C68" s="95">
        <f>'Base Lease Info'!E83</f>
        <v>0.8</v>
      </c>
      <c r="D68" s="96"/>
      <c r="E68" s="96"/>
      <c r="F68" s="4"/>
      <c r="G68" s="37"/>
    </row>
    <row r="69" spans="2:9" x14ac:dyDescent="0.2">
      <c r="B69" s="27" t="s">
        <v>80</v>
      </c>
      <c r="C69" s="95">
        <f>'Base Lease Info'!E84</f>
        <v>0.5</v>
      </c>
      <c r="D69" s="95">
        <f>'Base Lease Info'!F84</f>
        <v>0.4</v>
      </c>
      <c r="E69" s="95">
        <f>'Base Lease Info'!G84</f>
        <v>9.9999999999999978E-2</v>
      </c>
      <c r="F69" s="3"/>
      <c r="G69" s="39"/>
    </row>
    <row r="70" spans="2:9" x14ac:dyDescent="0.2">
      <c r="B70" s="27" t="s">
        <v>82</v>
      </c>
      <c r="C70" s="93">
        <f>'Base Lease Info'!E85</f>
        <v>3.7</v>
      </c>
      <c r="D70" s="93">
        <f>'Base Lease Info'!F85</f>
        <v>8.4</v>
      </c>
      <c r="E70" s="93">
        <f>'Base Lease Info'!G85</f>
        <v>5.5</v>
      </c>
      <c r="F70" s="3"/>
      <c r="G70" s="39"/>
    </row>
    <row r="71" spans="2:9" x14ac:dyDescent="0.2">
      <c r="B71" s="27" t="s">
        <v>83</v>
      </c>
      <c r="C71" s="97">
        <f>'Base Lease Info'!E86</f>
        <v>155</v>
      </c>
      <c r="D71" s="97">
        <f>'Base Lease Info'!F86</f>
        <v>48</v>
      </c>
      <c r="E71" s="97">
        <f>'Base Lease Info'!G86</f>
        <v>60</v>
      </c>
      <c r="F71" s="28"/>
      <c r="G71" s="77"/>
    </row>
    <row r="72" spans="2:9" x14ac:dyDescent="0.2">
      <c r="B72" s="27" t="s">
        <v>84</v>
      </c>
      <c r="C72" s="94">
        <f>IF(C61&lt;C70,(C70-C61)*C71*0.85,0)</f>
        <v>0</v>
      </c>
      <c r="D72" s="94">
        <f t="shared" ref="D72:E72" si="11">IF(D61&lt;D70,(D70-D61)*D71*0.85,0)</f>
        <v>0</v>
      </c>
      <c r="E72" s="94">
        <f t="shared" si="11"/>
        <v>5.9500000000000242</v>
      </c>
      <c r="F72" s="28"/>
      <c r="G72" s="77"/>
    </row>
    <row r="73" spans="2:9" x14ac:dyDescent="0.2">
      <c r="B73" s="27" t="s">
        <v>85</v>
      </c>
      <c r="C73" s="320">
        <f>(C72*C69+D72*D69+E72*E69)*C68</f>
        <v>0.47600000000000187</v>
      </c>
      <c r="D73" s="321"/>
      <c r="E73" s="322"/>
      <c r="F73" s="3"/>
      <c r="G73" s="39"/>
    </row>
    <row r="74" spans="2:9" x14ac:dyDescent="0.2">
      <c r="B74" s="27"/>
      <c r="C74" s="29"/>
      <c r="D74" s="3"/>
      <c r="E74" s="3"/>
      <c r="F74" s="3"/>
      <c r="G74" s="39"/>
    </row>
    <row r="75" spans="2:9" x14ac:dyDescent="0.2">
      <c r="B75" s="17"/>
      <c r="C75" s="2"/>
      <c r="D75" s="2"/>
      <c r="E75" s="2"/>
      <c r="F75" s="2"/>
      <c r="G75" s="78"/>
    </row>
    <row r="76" spans="2:9" x14ac:dyDescent="0.2">
      <c r="B76" s="16" t="s">
        <v>1</v>
      </c>
      <c r="C76" s="2"/>
      <c r="D76" s="2"/>
      <c r="E76" s="2"/>
      <c r="F76" s="2"/>
      <c r="G76" s="78"/>
    </row>
    <row r="77" spans="2:9" x14ac:dyDescent="0.2">
      <c r="B77" s="17" t="s">
        <v>2</v>
      </c>
      <c r="C77" s="3">
        <f>'Base Lease Info'!F25</f>
        <v>275</v>
      </c>
      <c r="D77" s="3">
        <f>'Base Lease Info'!G25</f>
        <v>150</v>
      </c>
      <c r="E77" s="3">
        <f>'Base Lease Info'!H25</f>
        <v>140</v>
      </c>
      <c r="F77" s="3">
        <f>'Base Lease Info'!I25</f>
        <v>150</v>
      </c>
      <c r="G77" s="39">
        <f>E77+F77</f>
        <v>290</v>
      </c>
      <c r="I77" t="s">
        <v>45</v>
      </c>
    </row>
    <row r="78" spans="2:9" x14ac:dyDescent="0.2">
      <c r="B78" s="17" t="s">
        <v>6</v>
      </c>
      <c r="C78" s="3">
        <f>'Base Lease Info'!F26</f>
        <v>140</v>
      </c>
      <c r="D78" s="3">
        <f>'Base Lease Info'!G26</f>
        <v>90</v>
      </c>
      <c r="E78" s="3">
        <f>'Base Lease Info'!H26</f>
        <v>90</v>
      </c>
      <c r="F78" s="3">
        <f>'Base Lease Info'!I26</f>
        <v>85</v>
      </c>
      <c r="G78" s="39">
        <f t="shared" ref="G78:G79" si="12">E78+F78</f>
        <v>175</v>
      </c>
      <c r="I78" t="s">
        <v>46</v>
      </c>
    </row>
    <row r="79" spans="2:9" x14ac:dyDescent="0.2">
      <c r="B79" s="17" t="s">
        <v>3</v>
      </c>
      <c r="C79" s="3">
        <f>'Base Lease Info'!F27</f>
        <v>60</v>
      </c>
      <c r="D79" s="3">
        <f>'Base Lease Info'!G27</f>
        <v>40</v>
      </c>
      <c r="E79" s="3">
        <f>'Base Lease Info'!H27</f>
        <v>40</v>
      </c>
      <c r="F79" s="3">
        <f>'Base Lease Info'!I27</f>
        <v>40</v>
      </c>
      <c r="G79" s="39">
        <f t="shared" si="12"/>
        <v>80</v>
      </c>
      <c r="I79" t="s">
        <v>47</v>
      </c>
    </row>
    <row r="80" spans="2:9" x14ac:dyDescent="0.2">
      <c r="B80" s="18" t="s">
        <v>4</v>
      </c>
      <c r="C80" s="6">
        <f>$C55</f>
        <v>223.125</v>
      </c>
      <c r="D80" s="6">
        <f>D55</f>
        <v>178.50000000000003</v>
      </c>
      <c r="E80" s="6">
        <f>E55</f>
        <v>122.47083333333332</v>
      </c>
      <c r="F80" s="6">
        <f>F55</f>
        <v>121.47916666666667</v>
      </c>
      <c r="G80" s="38">
        <f>G55</f>
        <v>243.95000000000002</v>
      </c>
      <c r="I80" t="s">
        <v>60</v>
      </c>
    </row>
    <row r="81" spans="2:9" x14ac:dyDescent="0.2">
      <c r="B81" s="24" t="s">
        <v>44</v>
      </c>
      <c r="C81" s="14">
        <f>SUM(C77:C80)</f>
        <v>698.125</v>
      </c>
      <c r="D81" s="14">
        <f>SUM(D77:D80)</f>
        <v>458.5</v>
      </c>
      <c r="E81" s="14">
        <f t="shared" ref="E81" si="13">SUM(E77:E80)</f>
        <v>392.4708333333333</v>
      </c>
      <c r="F81" s="14">
        <f>SUM(F77:F80)</f>
        <v>396.47916666666669</v>
      </c>
      <c r="G81" s="39">
        <f>SUM(G77:G80)</f>
        <v>788.95</v>
      </c>
      <c r="I81" t="s">
        <v>61</v>
      </c>
    </row>
    <row r="82" spans="2:9" x14ac:dyDescent="0.2">
      <c r="B82" s="17"/>
      <c r="C82" s="2"/>
      <c r="D82" s="2"/>
      <c r="E82" s="2"/>
      <c r="F82" s="2"/>
      <c r="G82" s="78"/>
    </row>
    <row r="83" spans="2:9" x14ac:dyDescent="0.2">
      <c r="B83" s="17" t="s">
        <v>8</v>
      </c>
      <c r="C83" s="3">
        <f>C65</f>
        <v>637.5</v>
      </c>
      <c r="D83" s="3">
        <f t="shared" ref="D83:G83" si="14">D65</f>
        <v>446.25000000000006</v>
      </c>
      <c r="E83" s="3">
        <f t="shared" si="14"/>
        <v>349.91666666666663</v>
      </c>
      <c r="F83" s="3">
        <f t="shared" si="14"/>
        <v>347.08333333333337</v>
      </c>
      <c r="G83" s="39">
        <f t="shared" si="14"/>
        <v>697.00000000000011</v>
      </c>
      <c r="I83" s="25" t="s">
        <v>67</v>
      </c>
    </row>
    <row r="84" spans="2:9" x14ac:dyDescent="0.2">
      <c r="B84" s="17" t="s">
        <v>9</v>
      </c>
      <c r="C84" s="5">
        <f>SUM(C77:C80)</f>
        <v>698.125</v>
      </c>
      <c r="D84" s="5">
        <f t="shared" ref="D84:G84" si="15">SUM(D77:D80)</f>
        <v>458.5</v>
      </c>
      <c r="E84" s="5">
        <f t="shared" si="15"/>
        <v>392.4708333333333</v>
      </c>
      <c r="F84" s="5">
        <f t="shared" si="15"/>
        <v>396.47916666666669</v>
      </c>
      <c r="G84" s="85">
        <f t="shared" si="15"/>
        <v>788.95</v>
      </c>
    </row>
    <row r="85" spans="2:9" x14ac:dyDescent="0.2">
      <c r="B85" s="21" t="s">
        <v>7</v>
      </c>
      <c r="C85" s="10">
        <f>C83-C84</f>
        <v>-60.625</v>
      </c>
      <c r="D85" s="10">
        <f>D83-D84</f>
        <v>-12.249999999999943</v>
      </c>
      <c r="E85" s="10">
        <f>E83-E84</f>
        <v>-42.554166666666674</v>
      </c>
      <c r="F85" s="10">
        <f t="shared" ref="F85:G85" si="16">F83-F84</f>
        <v>-49.395833333333314</v>
      </c>
      <c r="G85" s="36">
        <f t="shared" si="16"/>
        <v>-91.949999999999932</v>
      </c>
      <c r="I85" t="s">
        <v>50</v>
      </c>
    </row>
    <row r="86" spans="2:9" ht="13.5" thickBot="1" x14ac:dyDescent="0.25">
      <c r="B86" s="22" t="s">
        <v>25</v>
      </c>
      <c r="C86" s="328">
        <f>IF('Base Lease Info'!F12='Base Lease Info'!L76,C85*'Base Lease Info'!F8 + D85*'Base Lease Info'!G8 + E85*'Base Lease Info'!H8 + F85*'Base Lease Info'!H8,C85*'Base Lease Info'!F8 + D85*'Base Lease Info'!G8 + G85*'Base Lease Info'!J8)</f>
        <v>-56.362499999999969</v>
      </c>
      <c r="D86" s="329"/>
      <c r="E86" s="329"/>
      <c r="F86" s="329"/>
      <c r="G86" s="330"/>
      <c r="I86" t="s">
        <v>51</v>
      </c>
    </row>
    <row r="87" spans="2:9" ht="13.5" thickTop="1" x14ac:dyDescent="0.2"/>
    <row r="88" spans="2:9" x14ac:dyDescent="0.2">
      <c r="B88" s="1" t="s">
        <v>59</v>
      </c>
    </row>
    <row r="90" spans="2:9" ht="13.5" thickBot="1" x14ac:dyDescent="0.25">
      <c r="B90" s="11"/>
      <c r="C90" s="11"/>
      <c r="D90" s="11"/>
      <c r="E90" s="11"/>
      <c r="F90" s="11"/>
      <c r="G90" s="11"/>
    </row>
    <row r="91" spans="2:9" ht="17.25" thickTop="1" thickBot="1" x14ac:dyDescent="0.3">
      <c r="B91" s="334" t="s">
        <v>104</v>
      </c>
      <c r="C91" s="335"/>
      <c r="D91" s="335"/>
      <c r="E91" s="335"/>
      <c r="F91" s="335"/>
      <c r="G91" s="336"/>
      <c r="I91" s="7"/>
    </row>
    <row r="92" spans="2:9" ht="13.5" thickTop="1" x14ac:dyDescent="0.2">
      <c r="B92" s="68" t="s">
        <v>14</v>
      </c>
      <c r="C92" s="337"/>
      <c r="D92" s="337"/>
      <c r="E92" s="131"/>
      <c r="F92" s="131"/>
      <c r="G92" s="69"/>
      <c r="I92" s="7" t="s">
        <v>18</v>
      </c>
    </row>
    <row r="93" spans="2:9" x14ac:dyDescent="0.2">
      <c r="B93" s="17" t="s">
        <v>31</v>
      </c>
      <c r="C93" s="331">
        <f>'Base Lease Info'!F21</f>
        <v>150</v>
      </c>
      <c r="D93" s="332"/>
      <c r="E93" s="332"/>
      <c r="F93" s="332"/>
      <c r="G93" s="333"/>
      <c r="I93" s="7"/>
    </row>
    <row r="94" spans="2:9" x14ac:dyDescent="0.2">
      <c r="B94" s="17" t="s">
        <v>10</v>
      </c>
      <c r="C94" s="331">
        <f>'Base Lease Info'!F10</f>
        <v>125</v>
      </c>
      <c r="D94" s="332"/>
      <c r="E94" s="332"/>
      <c r="F94" s="332"/>
      <c r="G94" s="333"/>
      <c r="H94" s="15"/>
      <c r="I94" s="11"/>
    </row>
    <row r="95" spans="2:9" x14ac:dyDescent="0.2">
      <c r="B95" s="17" t="s">
        <v>32</v>
      </c>
      <c r="C95" s="331" t="str">
        <f>'Base Lease Info'!F11</f>
        <v>No</v>
      </c>
      <c r="D95" s="332"/>
      <c r="E95" s="332"/>
      <c r="F95" s="332"/>
      <c r="G95" s="333"/>
      <c r="H95" s="15"/>
      <c r="I95" s="11" t="s">
        <v>62</v>
      </c>
    </row>
    <row r="96" spans="2:9" x14ac:dyDescent="0.2">
      <c r="B96" s="17"/>
      <c r="C96" s="12" t="s">
        <v>22</v>
      </c>
      <c r="D96" s="12" t="s">
        <v>23</v>
      </c>
      <c r="E96" s="12" t="s">
        <v>73</v>
      </c>
      <c r="F96" s="12" t="s">
        <v>74</v>
      </c>
      <c r="G96" s="35" t="s">
        <v>76</v>
      </c>
      <c r="H96" s="15"/>
      <c r="I96" s="11"/>
    </row>
    <row r="97" spans="2:9" x14ac:dyDescent="0.2">
      <c r="B97" s="17" t="s">
        <v>28</v>
      </c>
      <c r="C97" s="13">
        <f>SUM('Base Lease Info'!F25:F27)+C94</f>
        <v>600</v>
      </c>
      <c r="D97" s="13">
        <f>SUM('Base Lease Info'!G25:G27)+D94</f>
        <v>280</v>
      </c>
      <c r="E97" s="13">
        <f>SUM('Base Lease Info'!H25:H27)+E94</f>
        <v>270</v>
      </c>
      <c r="F97" s="13">
        <f>SUM('Base Lease Info'!I25:I27)+F94</f>
        <v>275</v>
      </c>
      <c r="G97" s="70">
        <f>E97+F97</f>
        <v>545</v>
      </c>
      <c r="H97" s="15"/>
      <c r="I97" s="11" t="s">
        <v>54</v>
      </c>
    </row>
    <row r="98" spans="2:9" x14ac:dyDescent="0.2">
      <c r="B98" s="17" t="s">
        <v>11</v>
      </c>
      <c r="C98" s="30">
        <f>'Base Lease Info'!F16</f>
        <v>475</v>
      </c>
      <c r="D98" s="30">
        <f>'Base Lease Info'!G16</f>
        <v>325</v>
      </c>
      <c r="E98" s="30">
        <f>'Base Lease Info'!H16</f>
        <v>325</v>
      </c>
      <c r="F98" s="30">
        <f>'Base Lease Info'!I16</f>
        <v>250</v>
      </c>
      <c r="G98" s="70">
        <f>E98+F98</f>
        <v>575</v>
      </c>
      <c r="I98" s="11" t="s">
        <v>38</v>
      </c>
    </row>
    <row r="99" spans="2:9" x14ac:dyDescent="0.2">
      <c r="B99" s="18" t="s">
        <v>12</v>
      </c>
      <c r="C99" s="31">
        <f>'Base Lease Info'!F17</f>
        <v>0.35</v>
      </c>
      <c r="D99" s="31">
        <f>'Base Lease Info'!G17</f>
        <v>0.4</v>
      </c>
      <c r="E99" s="31">
        <f>'Base Lease Info'!H17</f>
        <v>0.35</v>
      </c>
      <c r="F99" s="31">
        <f>'Base Lease Info'!I17</f>
        <v>0.35</v>
      </c>
      <c r="G99" s="90">
        <f>E99*(E106/G106) + F99*(F106/G106)</f>
        <v>0.35</v>
      </c>
      <c r="H99" s="15"/>
      <c r="I99" s="11" t="s">
        <v>39</v>
      </c>
    </row>
    <row r="100" spans="2:9" x14ac:dyDescent="0.2">
      <c r="B100" s="18" t="s">
        <v>55</v>
      </c>
      <c r="C100" s="10">
        <f>IF($C95='Base Lease Info'!$J$75,(C108+C109-C98)*C99,IF((C108 + C109) &gt; C98,(C108+C109-C98)*C99,0))</f>
        <v>70</v>
      </c>
      <c r="D100" s="10">
        <f>IF($C95='Base Lease Info'!$J$75,(D108+D109-D98)*D99,IF((D108 + D109) &gt; D98,(D108+D109-D98)*D99,0))</f>
        <v>59</v>
      </c>
      <c r="E100" s="10">
        <f>IF($C95='Base Lease Info'!$J$75,(E108+E109-E98)*E99,IF((E108 + E109) &gt; E98,(E108+E109-E98)*E99,0))</f>
        <v>15.924999999999999</v>
      </c>
      <c r="F100" s="10">
        <f>IF($C95='Base Lease Info'!$J$75,(F108+F109-F98)*F99,IF((F108 + F109) &gt; F98,(F108+F109-F98)*F99,0))</f>
        <v>41.125</v>
      </c>
      <c r="G100" s="36">
        <f>IF($C95='Base Lease Info'!$J$75,(G108+G109-G98)*G99,IF((G108 + G109) &gt; G98,(G108+G109-G98)*G99,0))</f>
        <v>57.05</v>
      </c>
      <c r="H100" s="15"/>
      <c r="I100" s="11" t="s">
        <v>57</v>
      </c>
    </row>
    <row r="101" spans="2:9" ht="15.75" x14ac:dyDescent="0.25">
      <c r="B101" s="19" t="s">
        <v>56</v>
      </c>
      <c r="C101" s="9">
        <f>IF($C95='Base Lease Info'!$J$75,$C94+(C108+C109-C98)*C99,IF((C108 + C109) &gt; C98,$C94+(C108+C109-C98)*C99,$C94))</f>
        <v>195</v>
      </c>
      <c r="D101" s="9">
        <f>IF($C95='Base Lease Info'!$J$75,$C94+(D108+D109-D98)*D99,IF((D108 + D109) &gt; D98,$C94+(D108+D109-D98)*D99,$C94))</f>
        <v>184</v>
      </c>
      <c r="E101" s="9">
        <f>IF($C95='Base Lease Info'!$J$75,$C94/2+(E108+E109-E98)*E99,IF((E108 + E109) &gt; E98,$C94/2+(E108+E109-E98)*E99,$C94/2))</f>
        <v>78.424999999999997</v>
      </c>
      <c r="F101" s="9">
        <f>IF($C95='Base Lease Info'!$J$75,$C94/2+(F108+F109-F98)*F99,IF((F108 + F109) &gt; F98,$C94/2+(F108+F109-F98)*F99,$C94/2))</f>
        <v>103.625</v>
      </c>
      <c r="G101" s="72">
        <f>IF($C95='Base Lease Info'!$J$75,$C94+(G108+G109-G98)*G99,IF((G108 + G109) &gt; G98,$C94+(G108+G109-G98)*G99,$C94))</f>
        <v>182.05</v>
      </c>
      <c r="I101" t="s">
        <v>40</v>
      </c>
    </row>
    <row r="102" spans="2:9" ht="15.75" x14ac:dyDescent="0.25">
      <c r="B102" s="19" t="s">
        <v>58</v>
      </c>
      <c r="C102" s="323">
        <f>IF('Base Lease Info'!F12='Base Lease Info'!L75,C101*'Base Lease Info'!F8 + D101*'Base Lease Info'!G8 + G101*'Base Lease Info'!J8, C101*'Base Lease Info'!F8 + D101*'Base Lease Info'!G8 + E101*'Base Lease Info'!H8 + F101*'Base Lease Info'!H8)</f>
        <v>189.01249999999999</v>
      </c>
      <c r="D102" s="323"/>
      <c r="E102" s="323"/>
      <c r="F102" s="323"/>
      <c r="G102" s="324"/>
      <c r="I102" t="s">
        <v>48</v>
      </c>
    </row>
    <row r="103" spans="2:9" x14ac:dyDescent="0.2">
      <c r="B103" s="17" t="s">
        <v>19</v>
      </c>
      <c r="C103" s="325">
        <f>C102/$C93-1</f>
        <v>0.26008333333333322</v>
      </c>
      <c r="D103" s="326"/>
      <c r="E103" s="326"/>
      <c r="F103" s="326"/>
      <c r="G103" s="327"/>
      <c r="I103" t="s">
        <v>49</v>
      </c>
    </row>
    <row r="104" spans="2:9" x14ac:dyDescent="0.2">
      <c r="B104" s="17"/>
      <c r="C104" s="8"/>
      <c r="D104" s="8"/>
      <c r="E104" s="8"/>
      <c r="F104" s="8"/>
      <c r="G104" s="73"/>
    </row>
    <row r="105" spans="2:9" x14ac:dyDescent="0.2">
      <c r="B105" s="20" t="s">
        <v>20</v>
      </c>
      <c r="C105" s="12" t="s">
        <v>22</v>
      </c>
      <c r="D105" s="12" t="s">
        <v>23</v>
      </c>
      <c r="E105" s="12" t="s">
        <v>73</v>
      </c>
      <c r="F105" s="12" t="s">
        <v>74</v>
      </c>
      <c r="G105" s="35" t="s">
        <v>76</v>
      </c>
    </row>
    <row r="106" spans="2:9" x14ac:dyDescent="0.2">
      <c r="B106" s="17" t="s">
        <v>0</v>
      </c>
      <c r="C106" s="92">
        <f>'Base Lease Info'!B60</f>
        <v>180</v>
      </c>
      <c r="D106" s="92">
        <f>'Base Lease Info'!C60</f>
        <v>54</v>
      </c>
      <c r="E106" s="92">
        <f>'Base Lease Info'!E60</f>
        <v>78</v>
      </c>
      <c r="F106" s="92">
        <f>'Base Lease Info'!D60</f>
        <v>42</v>
      </c>
      <c r="G106" s="108">
        <f>E106+F106</f>
        <v>120</v>
      </c>
      <c r="I106" t="s">
        <v>26</v>
      </c>
    </row>
    <row r="107" spans="2:9" x14ac:dyDescent="0.2">
      <c r="B107" s="17" t="s">
        <v>21</v>
      </c>
      <c r="C107" s="26">
        <f>'Base Lease Info'!F5</f>
        <v>3.75</v>
      </c>
      <c r="D107" s="26">
        <f>'Base Lease Info'!G5</f>
        <v>8.75</v>
      </c>
      <c r="E107" s="26">
        <f>'Base Lease Info'!H5</f>
        <v>4.75</v>
      </c>
      <c r="F107" s="26">
        <f>'Base Lease Info'!I5</f>
        <v>8.75</v>
      </c>
      <c r="G107" s="81">
        <f>E107*(E106/G106) + F107*(F106/G106)</f>
        <v>6.15</v>
      </c>
      <c r="I107" t="s">
        <v>27</v>
      </c>
    </row>
    <row r="108" spans="2:9" x14ac:dyDescent="0.2">
      <c r="B108" s="17" t="s">
        <v>5</v>
      </c>
      <c r="C108" s="3">
        <f>C106*C107</f>
        <v>675</v>
      </c>
      <c r="D108" s="3">
        <f>D106*D107</f>
        <v>472.5</v>
      </c>
      <c r="E108" s="3">
        <f t="shared" ref="E108:F108" si="17">E106*E107</f>
        <v>370.5</v>
      </c>
      <c r="F108" s="3">
        <f t="shared" si="17"/>
        <v>367.5</v>
      </c>
      <c r="G108" s="46">
        <f>G106*G107</f>
        <v>738</v>
      </c>
      <c r="I108" t="s">
        <v>41</v>
      </c>
    </row>
    <row r="109" spans="2:9" x14ac:dyDescent="0.2">
      <c r="B109" s="17" t="s">
        <v>13</v>
      </c>
      <c r="C109" s="3">
        <f>IF('Base Lease Info'!$F6='Base Lease Info'!$J$75,$C119,0)</f>
        <v>0</v>
      </c>
      <c r="D109" s="3">
        <f>IF('Base Lease Info'!$F6='Base Lease Info'!$J$75,$C119,0)</f>
        <v>0</v>
      </c>
      <c r="E109" s="3">
        <f>IF('Base Lease Info'!$F6='Base Lease Info'!$J$75,$C119,0)</f>
        <v>0</v>
      </c>
      <c r="F109" s="3">
        <f>IF('Base Lease Info'!$F6='Base Lease Info'!$J$75,$C119,0)</f>
        <v>0</v>
      </c>
      <c r="G109" s="39">
        <f>IF('Base Lease Info'!$F6='Base Lease Info'!$J$75,$C119,0)</f>
        <v>0</v>
      </c>
      <c r="I109" s="25" t="s">
        <v>63</v>
      </c>
    </row>
    <row r="110" spans="2:9" x14ac:dyDescent="0.2">
      <c r="B110" s="27" t="s">
        <v>107</v>
      </c>
      <c r="C110" s="6">
        <f>'Base Lease Info'!E80</f>
        <v>0</v>
      </c>
      <c r="D110" s="6">
        <f>'Base Lease Info'!F80</f>
        <v>0</v>
      </c>
      <c r="E110" s="6">
        <f>'Base Lease Info'!G80</f>
        <v>0</v>
      </c>
      <c r="F110" s="6">
        <f>'Base Lease Info'!H80</f>
        <v>0</v>
      </c>
      <c r="G110" s="38">
        <f>'Base Lease Info'!I80</f>
        <v>0</v>
      </c>
      <c r="I110" s="25"/>
    </row>
    <row r="111" spans="2:9" x14ac:dyDescent="0.2">
      <c r="B111" s="24" t="s">
        <v>43</v>
      </c>
      <c r="C111" s="14">
        <f>SUM(C108:C110)</f>
        <v>675</v>
      </c>
      <c r="D111" s="14">
        <f t="shared" ref="D111:G111" si="18">SUM(D108:D110)</f>
        <v>472.5</v>
      </c>
      <c r="E111" s="14">
        <f t="shared" si="18"/>
        <v>370.5</v>
      </c>
      <c r="F111" s="14">
        <f t="shared" si="18"/>
        <v>367.5</v>
      </c>
      <c r="G111" s="76">
        <f t="shared" si="18"/>
        <v>738</v>
      </c>
      <c r="I111" t="s">
        <v>42</v>
      </c>
    </row>
    <row r="112" spans="2:9" x14ac:dyDescent="0.2">
      <c r="B112" s="24"/>
      <c r="C112" s="14"/>
      <c r="D112" s="14"/>
      <c r="E112" s="14"/>
      <c r="F112" s="14"/>
      <c r="G112" s="76"/>
    </row>
    <row r="113" spans="2:9" x14ac:dyDescent="0.2">
      <c r="B113" s="40" t="s">
        <v>79</v>
      </c>
      <c r="C113" s="14"/>
      <c r="D113" s="14"/>
      <c r="E113" s="14"/>
      <c r="F113" s="14"/>
      <c r="G113" s="76"/>
    </row>
    <row r="114" spans="2:9" x14ac:dyDescent="0.2">
      <c r="B114" s="27" t="s">
        <v>81</v>
      </c>
      <c r="C114" s="95">
        <f>'Base Lease Info'!E83</f>
        <v>0.8</v>
      </c>
      <c r="D114" s="96"/>
      <c r="E114" s="96"/>
      <c r="F114" s="4"/>
      <c r="G114" s="37"/>
    </row>
    <row r="115" spans="2:9" x14ac:dyDescent="0.2">
      <c r="B115" s="27" t="s">
        <v>80</v>
      </c>
      <c r="C115" s="95">
        <f>'Base Lease Info'!E84</f>
        <v>0.5</v>
      </c>
      <c r="D115" s="95">
        <f>'Base Lease Info'!F84</f>
        <v>0.4</v>
      </c>
      <c r="E115" s="95">
        <f>'Base Lease Info'!G84</f>
        <v>9.9999999999999978E-2</v>
      </c>
      <c r="F115" s="3"/>
      <c r="G115" s="39"/>
    </row>
    <row r="116" spans="2:9" x14ac:dyDescent="0.2">
      <c r="B116" s="80" t="s">
        <v>82</v>
      </c>
      <c r="C116" s="93">
        <f>'Base Lease Info'!E85</f>
        <v>3.7</v>
      </c>
      <c r="D116" s="93">
        <f>'Base Lease Info'!F85</f>
        <v>8.4</v>
      </c>
      <c r="E116" s="93">
        <f>'Base Lease Info'!G85</f>
        <v>5.5</v>
      </c>
      <c r="F116" s="3"/>
      <c r="G116" s="39"/>
      <c r="I116" s="25" t="s">
        <v>106</v>
      </c>
    </row>
    <row r="117" spans="2:9" x14ac:dyDescent="0.2">
      <c r="B117" s="27" t="s">
        <v>83</v>
      </c>
      <c r="C117" s="97">
        <f>'Base Lease Info'!E86</f>
        <v>155</v>
      </c>
      <c r="D117" s="97">
        <f>'Base Lease Info'!F86</f>
        <v>48</v>
      </c>
      <c r="E117" s="97">
        <f>'Base Lease Info'!G86</f>
        <v>60</v>
      </c>
      <c r="F117" s="28"/>
      <c r="G117" s="77"/>
    </row>
    <row r="118" spans="2:9" x14ac:dyDescent="0.2">
      <c r="B118" s="27" t="s">
        <v>84</v>
      </c>
      <c r="C118" s="3">
        <f>IF(C107&lt;C116,(C116-C107)*C117*0.85,0)</f>
        <v>0</v>
      </c>
      <c r="D118" s="3">
        <f>IF(D107&lt;D116,(D116-D107)*D117*0.85,0)</f>
        <v>0</v>
      </c>
      <c r="E118" s="3">
        <f>IF(E107&lt;E116,(E116-E107)*E117*0.85,0)</f>
        <v>38.25</v>
      </c>
      <c r="F118" s="28"/>
      <c r="G118" s="77"/>
    </row>
    <row r="119" spans="2:9" x14ac:dyDescent="0.2">
      <c r="B119" s="27" t="s">
        <v>85</v>
      </c>
      <c r="C119" s="320">
        <f>(C118*C115+D118*D115+E118*E115)*C114</f>
        <v>3.0599999999999996</v>
      </c>
      <c r="D119" s="321"/>
      <c r="E119" s="322"/>
      <c r="F119" s="3"/>
      <c r="G119" s="39"/>
    </row>
    <row r="120" spans="2:9" x14ac:dyDescent="0.2">
      <c r="B120" s="27"/>
      <c r="C120" s="29"/>
      <c r="D120" s="3"/>
      <c r="E120" s="3"/>
      <c r="F120" s="3"/>
      <c r="G120" s="39"/>
    </row>
    <row r="121" spans="2:9" x14ac:dyDescent="0.2">
      <c r="B121" s="17"/>
      <c r="C121" s="2"/>
      <c r="D121" s="2"/>
      <c r="E121" s="2"/>
      <c r="F121" s="2"/>
      <c r="G121" s="78"/>
    </row>
    <row r="122" spans="2:9" x14ac:dyDescent="0.2">
      <c r="B122" s="16" t="s">
        <v>1</v>
      </c>
      <c r="C122" s="2"/>
      <c r="D122" s="2"/>
      <c r="E122" s="2"/>
      <c r="F122" s="2"/>
      <c r="G122" s="78"/>
    </row>
    <row r="123" spans="2:9" x14ac:dyDescent="0.2">
      <c r="B123" s="17" t="s">
        <v>2</v>
      </c>
      <c r="C123" s="3">
        <f>'Base Lease Info'!F25</f>
        <v>275</v>
      </c>
      <c r="D123" s="3">
        <f>'Base Lease Info'!G25</f>
        <v>150</v>
      </c>
      <c r="E123" s="3">
        <f>'Base Lease Info'!H25</f>
        <v>140</v>
      </c>
      <c r="F123" s="3">
        <f>'Base Lease Info'!I25</f>
        <v>150</v>
      </c>
      <c r="G123" s="39">
        <f>E123+F123</f>
        <v>290</v>
      </c>
      <c r="I123" t="s">
        <v>45</v>
      </c>
    </row>
    <row r="124" spans="2:9" x14ac:dyDescent="0.2">
      <c r="B124" s="17" t="s">
        <v>6</v>
      </c>
      <c r="C124" s="3">
        <f>'Base Lease Info'!F26</f>
        <v>140</v>
      </c>
      <c r="D124" s="3">
        <f>'Base Lease Info'!G26</f>
        <v>90</v>
      </c>
      <c r="E124" s="3">
        <f>'Base Lease Info'!H26</f>
        <v>90</v>
      </c>
      <c r="F124" s="3">
        <f>'Base Lease Info'!I26</f>
        <v>85</v>
      </c>
      <c r="G124" s="39">
        <f t="shared" ref="G124:G125" si="19">E124+F124</f>
        <v>175</v>
      </c>
      <c r="I124" t="s">
        <v>46</v>
      </c>
    </row>
    <row r="125" spans="2:9" x14ac:dyDescent="0.2">
      <c r="B125" s="17" t="s">
        <v>3</v>
      </c>
      <c r="C125" s="3">
        <f>'Base Lease Info'!F27</f>
        <v>60</v>
      </c>
      <c r="D125" s="3">
        <f>'Base Lease Info'!G27</f>
        <v>40</v>
      </c>
      <c r="E125" s="3">
        <f>'Base Lease Info'!H27</f>
        <v>40</v>
      </c>
      <c r="F125" s="3">
        <f>'Base Lease Info'!I27</f>
        <v>40</v>
      </c>
      <c r="G125" s="39">
        <f t="shared" si="19"/>
        <v>80</v>
      </c>
      <c r="I125" t="s">
        <v>47</v>
      </c>
    </row>
    <row r="126" spans="2:9" x14ac:dyDescent="0.2">
      <c r="B126" s="17" t="s">
        <v>4</v>
      </c>
      <c r="C126" s="6">
        <f>$C101</f>
        <v>195</v>
      </c>
      <c r="D126" s="6">
        <f>D101</f>
        <v>184</v>
      </c>
      <c r="E126" s="6">
        <f t="shared" ref="E126:F126" si="20">E101</f>
        <v>78.424999999999997</v>
      </c>
      <c r="F126" s="6">
        <f t="shared" si="20"/>
        <v>103.625</v>
      </c>
      <c r="G126" s="38">
        <f>G101</f>
        <v>182.05</v>
      </c>
      <c r="I126" t="s">
        <v>60</v>
      </c>
    </row>
    <row r="127" spans="2:9" x14ac:dyDescent="0.2">
      <c r="B127" s="24" t="s">
        <v>44</v>
      </c>
      <c r="C127" s="14">
        <f>SUM(C123:C126)</f>
        <v>670</v>
      </c>
      <c r="D127" s="14">
        <f>SUM(D123:D126)</f>
        <v>464</v>
      </c>
      <c r="E127" s="14">
        <f t="shared" ref="E127" si="21">SUM(E123:E126)</f>
        <v>348.42500000000001</v>
      </c>
      <c r="F127" s="14">
        <f>SUM(F123:F126)</f>
        <v>378.625</v>
      </c>
      <c r="G127" s="39">
        <f>SUM(G123:G126)</f>
        <v>727.05</v>
      </c>
      <c r="I127" t="s">
        <v>61</v>
      </c>
    </row>
    <row r="128" spans="2:9" x14ac:dyDescent="0.2">
      <c r="B128" s="17"/>
      <c r="C128" s="2"/>
      <c r="D128" s="2"/>
      <c r="E128" s="2"/>
      <c r="F128" s="2"/>
      <c r="G128" s="78"/>
    </row>
    <row r="129" spans="2:9" x14ac:dyDescent="0.2">
      <c r="B129" s="18" t="s">
        <v>8</v>
      </c>
      <c r="C129" s="3">
        <f>C111</f>
        <v>675</v>
      </c>
      <c r="D129" s="3">
        <f t="shared" ref="D129:G129" si="22">D111</f>
        <v>472.5</v>
      </c>
      <c r="E129" s="3">
        <f t="shared" si="22"/>
        <v>370.5</v>
      </c>
      <c r="F129" s="3">
        <f t="shared" si="22"/>
        <v>367.5</v>
      </c>
      <c r="G129" s="39">
        <f t="shared" si="22"/>
        <v>738</v>
      </c>
      <c r="I129" s="25" t="s">
        <v>67</v>
      </c>
    </row>
    <row r="130" spans="2:9" x14ac:dyDescent="0.2">
      <c r="B130" s="17" t="s">
        <v>9</v>
      </c>
      <c r="C130" s="5">
        <f>SUM(C123:C126)</f>
        <v>670</v>
      </c>
      <c r="D130" s="5">
        <f>SUM(D123:D126)</f>
        <v>464</v>
      </c>
      <c r="E130" s="5">
        <f t="shared" ref="E130" si="23">SUM(E123:E126)</f>
        <v>348.42500000000001</v>
      </c>
      <c r="F130" s="5">
        <f>SUM(F123:F126)</f>
        <v>378.625</v>
      </c>
      <c r="G130" s="39">
        <f>SUM(G123:G126)</f>
        <v>727.05</v>
      </c>
    </row>
    <row r="131" spans="2:9" x14ac:dyDescent="0.2">
      <c r="B131" s="21" t="s">
        <v>7</v>
      </c>
      <c r="C131" s="10">
        <f>C129-C130</f>
        <v>5</v>
      </c>
      <c r="D131" s="10">
        <f>D129-D130</f>
        <v>8.5</v>
      </c>
      <c r="E131" s="10">
        <f>E129-E130</f>
        <v>22.074999999999989</v>
      </c>
      <c r="F131" s="10">
        <f t="shared" ref="F131:G131" si="24">F129-F130</f>
        <v>-11.125</v>
      </c>
      <c r="G131" s="36">
        <f t="shared" si="24"/>
        <v>10.950000000000045</v>
      </c>
      <c r="I131" t="s">
        <v>50</v>
      </c>
    </row>
    <row r="132" spans="2:9" ht="13.5" thickBot="1" x14ac:dyDescent="0.25">
      <c r="B132" s="91" t="s">
        <v>25</v>
      </c>
      <c r="C132" s="328">
        <f>IF('Base Lease Info'!F12='Base Lease Info'!L76,C131*'Base Lease Info'!F8 + D131*'Base Lease Info'!G8 + E131*'Base Lease Info'!H8 + F131*'Base Lease Info'!H8,C131*'Base Lease Info'!F8 + D131*'Base Lease Info'!G8 + G131*'Base Lease Info'!J8)</f>
        <v>7.3625000000000114</v>
      </c>
      <c r="D132" s="329"/>
      <c r="E132" s="329"/>
      <c r="F132" s="329"/>
      <c r="G132" s="330"/>
      <c r="I132" t="s">
        <v>51</v>
      </c>
    </row>
    <row r="133" spans="2:9" ht="13.5" thickTop="1" x14ac:dyDescent="0.2"/>
    <row r="134" spans="2:9" x14ac:dyDescent="0.2">
      <c r="B134" s="1" t="s">
        <v>59</v>
      </c>
    </row>
    <row r="136" spans="2:9" ht="13.5" thickBot="1" x14ac:dyDescent="0.25"/>
    <row r="137" spans="2:9" ht="17.25" thickTop="1" thickBot="1" x14ac:dyDescent="0.3">
      <c r="B137" s="334" t="s">
        <v>105</v>
      </c>
      <c r="C137" s="335"/>
      <c r="D137" s="335"/>
      <c r="E137" s="335"/>
      <c r="F137" s="335"/>
      <c r="G137" s="336"/>
      <c r="I137" s="7"/>
    </row>
    <row r="138" spans="2:9" ht="13.5" thickTop="1" x14ac:dyDescent="0.2">
      <c r="B138" s="68" t="s">
        <v>14</v>
      </c>
      <c r="C138" s="337"/>
      <c r="D138" s="337"/>
      <c r="E138" s="131"/>
      <c r="F138" s="131"/>
      <c r="G138" s="69"/>
      <c r="I138" s="7" t="s">
        <v>18</v>
      </c>
    </row>
    <row r="139" spans="2:9" x14ac:dyDescent="0.2">
      <c r="B139" s="17" t="s">
        <v>31</v>
      </c>
      <c r="C139" s="331">
        <f>'Base Lease Info'!F21</f>
        <v>150</v>
      </c>
      <c r="D139" s="332"/>
      <c r="E139" s="332"/>
      <c r="F139" s="332"/>
      <c r="G139" s="333"/>
      <c r="I139" s="7"/>
    </row>
    <row r="140" spans="2:9" x14ac:dyDescent="0.2">
      <c r="B140" s="17" t="s">
        <v>10</v>
      </c>
      <c r="C140" s="331">
        <f>'Base Lease Info'!F10</f>
        <v>125</v>
      </c>
      <c r="D140" s="332"/>
      <c r="E140" s="332"/>
      <c r="F140" s="332"/>
      <c r="G140" s="333"/>
      <c r="H140" s="15"/>
      <c r="I140" s="11"/>
    </row>
    <row r="141" spans="2:9" x14ac:dyDescent="0.2">
      <c r="B141" s="17" t="s">
        <v>32</v>
      </c>
      <c r="C141" s="331" t="str">
        <f>'Base Lease Info'!F11</f>
        <v>No</v>
      </c>
      <c r="D141" s="332"/>
      <c r="E141" s="332"/>
      <c r="F141" s="332"/>
      <c r="G141" s="333"/>
      <c r="H141" s="15"/>
      <c r="I141" s="11" t="s">
        <v>62</v>
      </c>
    </row>
    <row r="142" spans="2:9" x14ac:dyDescent="0.2">
      <c r="B142" s="27"/>
      <c r="C142" s="12" t="s">
        <v>22</v>
      </c>
      <c r="D142" s="12" t="s">
        <v>23</v>
      </c>
      <c r="E142" s="12" t="s">
        <v>73</v>
      </c>
      <c r="F142" s="12" t="s">
        <v>74</v>
      </c>
      <c r="G142" s="35" t="s">
        <v>76</v>
      </c>
      <c r="H142" s="15"/>
      <c r="I142" s="11"/>
    </row>
    <row r="143" spans="2:9" x14ac:dyDescent="0.2">
      <c r="B143" s="80" t="s">
        <v>12</v>
      </c>
      <c r="C143" s="31">
        <f>'Base Lease Info'!F17</f>
        <v>0.35</v>
      </c>
      <c r="D143" s="31">
        <f>'Base Lease Info'!G17</f>
        <v>0.4</v>
      </c>
      <c r="E143" s="31">
        <f>'Base Lease Info'!H17</f>
        <v>0.35</v>
      </c>
      <c r="F143" s="31">
        <f>'Base Lease Info'!I17</f>
        <v>0.35</v>
      </c>
      <c r="G143" s="71">
        <f>E143*(E149/G149) + F143*(F149/G149)</f>
        <v>0.35</v>
      </c>
      <c r="H143" s="15"/>
      <c r="I143" s="11" t="s">
        <v>39</v>
      </c>
    </row>
    <row r="144" spans="2:9" ht="15.75" x14ac:dyDescent="0.25">
      <c r="B144" s="19" t="s">
        <v>91</v>
      </c>
      <c r="C144" s="9">
        <f>IF($C$141='Base Lease Info'!$J$75,C172*C143,IF(C172*C143&gt;$C$140,C172*C143,$C$140))</f>
        <v>236.24999999999997</v>
      </c>
      <c r="D144" s="9">
        <f>IF($C$141='Base Lease Info'!$J$75,D172*D143,IF(D172*D143&gt;$C$140,D172*D143,$C$140))</f>
        <v>189</v>
      </c>
      <c r="E144" s="9">
        <f>IF($C$141='Base Lease Info'!$J$75,E172*E143,IF(E172*E143&gt;$C$140/2,E172*E143,$C$140/2))</f>
        <v>129.67499999999998</v>
      </c>
      <c r="F144" s="9">
        <f>IF($C$141='Base Lease Info'!$J$75,F172*F143,IF(F172*F143&gt;$C$140/2,F172*F143,$C$140/2))</f>
        <v>128.625</v>
      </c>
      <c r="G144" s="72">
        <f>IF($C$141='Base Lease Info'!$J$75,G172*G143,IF(G172*G143&gt;$C$140,G172*G143,$C$140))</f>
        <v>258.3</v>
      </c>
      <c r="I144" t="s">
        <v>40</v>
      </c>
    </row>
    <row r="145" spans="2:9" ht="15.75" x14ac:dyDescent="0.25">
      <c r="B145" s="19" t="s">
        <v>58</v>
      </c>
      <c r="C145" s="323">
        <f>IF('Base Lease Info'!F12='Base Lease Info'!L75,C144*'Base Lease Info'!F8 + D144*'Base Lease Info'!G8 + G144*'Base Lease Info'!J8, C144*'Base Lease Info'!F8 + D144*'Base Lease Info'!G8 + E144*'Base Lease Info'!H8 + F144*'Base Lease Info'!H8)</f>
        <v>229.95</v>
      </c>
      <c r="D145" s="323"/>
      <c r="E145" s="323"/>
      <c r="F145" s="323"/>
      <c r="G145" s="324"/>
      <c r="I145" t="s">
        <v>48</v>
      </c>
    </row>
    <row r="146" spans="2:9" x14ac:dyDescent="0.2">
      <c r="B146" s="17" t="s">
        <v>19</v>
      </c>
      <c r="C146" s="325">
        <f>C145/$C139-1</f>
        <v>0.53299999999999992</v>
      </c>
      <c r="D146" s="326"/>
      <c r="E146" s="326"/>
      <c r="F146" s="326"/>
      <c r="G146" s="327"/>
      <c r="I146" t="s">
        <v>49</v>
      </c>
    </row>
    <row r="147" spans="2:9" x14ac:dyDescent="0.2">
      <c r="B147" s="17"/>
      <c r="C147" s="8"/>
      <c r="D147" s="8"/>
      <c r="E147" s="8"/>
      <c r="F147" s="8"/>
      <c r="G147" s="73"/>
    </row>
    <row r="148" spans="2:9" x14ac:dyDescent="0.2">
      <c r="B148" s="20" t="s">
        <v>20</v>
      </c>
      <c r="C148" s="12" t="s">
        <v>22</v>
      </c>
      <c r="D148" s="12" t="s">
        <v>23</v>
      </c>
      <c r="E148" s="12" t="s">
        <v>73</v>
      </c>
      <c r="F148" s="12" t="s">
        <v>74</v>
      </c>
      <c r="G148" s="35" t="s">
        <v>76</v>
      </c>
    </row>
    <row r="149" spans="2:9" x14ac:dyDescent="0.2">
      <c r="B149" s="17" t="s">
        <v>0</v>
      </c>
      <c r="C149" s="92">
        <f>'Base Lease Info'!B60</f>
        <v>180</v>
      </c>
      <c r="D149" s="92">
        <f>'Base Lease Info'!C60</f>
        <v>54</v>
      </c>
      <c r="E149" s="92">
        <f>'Base Lease Info'!E60</f>
        <v>78</v>
      </c>
      <c r="F149" s="92">
        <f>'Base Lease Info'!D60</f>
        <v>42</v>
      </c>
      <c r="G149" s="140">
        <f>E149+F149</f>
        <v>120</v>
      </c>
      <c r="I149" t="s">
        <v>26</v>
      </c>
    </row>
    <row r="150" spans="2:9" x14ac:dyDescent="0.2">
      <c r="B150" s="17" t="s">
        <v>21</v>
      </c>
      <c r="C150" s="26">
        <f>'Base Lease Info'!F5</f>
        <v>3.75</v>
      </c>
      <c r="D150" s="26">
        <f>'Base Lease Info'!G5</f>
        <v>8.75</v>
      </c>
      <c r="E150" s="26">
        <f>'Base Lease Info'!H5</f>
        <v>4.75</v>
      </c>
      <c r="F150" s="26">
        <f>'Base Lease Info'!I5</f>
        <v>8.75</v>
      </c>
      <c r="G150" s="75">
        <f>E150*(E149/G149) + F150*(F149/G149)</f>
        <v>6.15</v>
      </c>
      <c r="I150" t="s">
        <v>27</v>
      </c>
    </row>
    <row r="151" spans="2:9" x14ac:dyDescent="0.2">
      <c r="B151" s="17" t="s">
        <v>5</v>
      </c>
      <c r="C151" s="3">
        <f>C149*C150</f>
        <v>675</v>
      </c>
      <c r="D151" s="3">
        <f>D149*D150</f>
        <v>472.5</v>
      </c>
      <c r="E151" s="3">
        <f t="shared" ref="E151:F151" si="25">E149*E150</f>
        <v>370.5</v>
      </c>
      <c r="F151" s="3">
        <f t="shared" si="25"/>
        <v>367.5</v>
      </c>
      <c r="G151" s="46">
        <f>G149*G150</f>
        <v>738</v>
      </c>
      <c r="I151" t="s">
        <v>41</v>
      </c>
    </row>
    <row r="152" spans="2:9" x14ac:dyDescent="0.2">
      <c r="B152" s="17" t="s">
        <v>13</v>
      </c>
      <c r="C152" s="3">
        <f>IF('Base Lease Info'!$F6='Base Lease Info'!$J$75,$C162,0)</f>
        <v>0</v>
      </c>
      <c r="D152" s="3">
        <f>IF('Base Lease Info'!$F6='Base Lease Info'!$J$75,$C162,0)</f>
        <v>0</v>
      </c>
      <c r="E152" s="3">
        <f>IF('Base Lease Info'!$F6='Base Lease Info'!$J$75,$C162,0)</f>
        <v>0</v>
      </c>
      <c r="F152" s="3">
        <f>IF('Base Lease Info'!$F6='Base Lease Info'!$J$75,$C162,0)</f>
        <v>0</v>
      </c>
      <c r="G152" s="39">
        <f>IF('Base Lease Info'!$F6='Base Lease Info'!$J$75,$C162,0)</f>
        <v>0</v>
      </c>
      <c r="I152" s="25" t="s">
        <v>63</v>
      </c>
    </row>
    <row r="153" spans="2:9" x14ac:dyDescent="0.2">
      <c r="B153" s="27" t="s">
        <v>107</v>
      </c>
      <c r="C153" s="6">
        <f>'Base Lease Info'!E80</f>
        <v>0</v>
      </c>
      <c r="D153" s="6">
        <f>'Base Lease Info'!F80</f>
        <v>0</v>
      </c>
      <c r="E153" s="6">
        <f>'Base Lease Info'!G80</f>
        <v>0</v>
      </c>
      <c r="F153" s="6">
        <f>'Base Lease Info'!H80</f>
        <v>0</v>
      </c>
      <c r="G153" s="38">
        <f>'Base Lease Info'!I80</f>
        <v>0</v>
      </c>
      <c r="I153" s="25"/>
    </row>
    <row r="154" spans="2:9" x14ac:dyDescent="0.2">
      <c r="B154" s="24" t="s">
        <v>43</v>
      </c>
      <c r="C154" s="14">
        <f>SUM(C151:C153)</f>
        <v>675</v>
      </c>
      <c r="D154" s="14">
        <f t="shared" ref="D154:G154" si="26">SUM(D151:D153)</f>
        <v>472.5</v>
      </c>
      <c r="E154" s="14">
        <f t="shared" si="26"/>
        <v>370.5</v>
      </c>
      <c r="F154" s="14">
        <f t="shared" si="26"/>
        <v>367.5</v>
      </c>
      <c r="G154" s="76">
        <f t="shared" si="26"/>
        <v>738</v>
      </c>
      <c r="I154" t="s">
        <v>42</v>
      </c>
    </row>
    <row r="155" spans="2:9" x14ac:dyDescent="0.2">
      <c r="B155" s="24"/>
      <c r="C155" s="14"/>
      <c r="D155" s="14"/>
      <c r="E155" s="14"/>
      <c r="F155" s="14"/>
      <c r="G155" s="76"/>
    </row>
    <row r="156" spans="2:9" x14ac:dyDescent="0.2">
      <c r="B156" s="40" t="s">
        <v>79</v>
      </c>
      <c r="C156" s="14"/>
      <c r="D156" s="14"/>
      <c r="E156" s="14"/>
      <c r="F156" s="14"/>
      <c r="G156" s="76"/>
    </row>
    <row r="157" spans="2:9" x14ac:dyDescent="0.2">
      <c r="B157" s="27" t="s">
        <v>81</v>
      </c>
      <c r="C157" s="95">
        <f>'Base Lease Info'!E83</f>
        <v>0.8</v>
      </c>
      <c r="D157" s="96"/>
      <c r="E157" s="96"/>
      <c r="F157" s="4"/>
      <c r="G157" s="37"/>
    </row>
    <row r="158" spans="2:9" x14ac:dyDescent="0.2">
      <c r="B158" s="27" t="s">
        <v>80</v>
      </c>
      <c r="C158" s="95">
        <f>'Base Lease Info'!E84</f>
        <v>0.5</v>
      </c>
      <c r="D158" s="95">
        <f>'Base Lease Info'!F84</f>
        <v>0.4</v>
      </c>
      <c r="E158" s="95">
        <f>'Base Lease Info'!G84</f>
        <v>9.9999999999999978E-2</v>
      </c>
      <c r="F158" s="3"/>
      <c r="G158" s="39"/>
    </row>
    <row r="159" spans="2:9" x14ac:dyDescent="0.2">
      <c r="B159" s="27" t="s">
        <v>82</v>
      </c>
      <c r="C159" s="93">
        <f>'Base Lease Info'!E85</f>
        <v>3.7</v>
      </c>
      <c r="D159" s="93">
        <f>'Base Lease Info'!F85</f>
        <v>8.4</v>
      </c>
      <c r="E159" s="93">
        <f>'Base Lease Info'!G85</f>
        <v>5.5</v>
      </c>
      <c r="F159" s="3"/>
      <c r="G159" s="39"/>
    </row>
    <row r="160" spans="2:9" x14ac:dyDescent="0.2">
      <c r="B160" s="27" t="s">
        <v>83</v>
      </c>
      <c r="C160" s="97">
        <f>'Base Lease Info'!E86</f>
        <v>155</v>
      </c>
      <c r="D160" s="97">
        <f>'Base Lease Info'!F86</f>
        <v>48</v>
      </c>
      <c r="E160" s="97">
        <f>'Base Lease Info'!G86</f>
        <v>60</v>
      </c>
      <c r="F160" s="28"/>
      <c r="G160" s="77"/>
    </row>
    <row r="161" spans="2:9" x14ac:dyDescent="0.2">
      <c r="B161" s="27" t="s">
        <v>84</v>
      </c>
      <c r="C161" s="3">
        <f>IF(C150&lt;C159,(C159-C150)*C160*0.85,0)</f>
        <v>0</v>
      </c>
      <c r="D161" s="3">
        <f t="shared" ref="D161:E161" si="27">IF(D150&lt;D159,(D159-D150)*D160*0.85,0)</f>
        <v>0</v>
      </c>
      <c r="E161" s="3">
        <f t="shared" si="27"/>
        <v>38.25</v>
      </c>
      <c r="F161" s="28"/>
      <c r="G161" s="77"/>
    </row>
    <row r="162" spans="2:9" x14ac:dyDescent="0.2">
      <c r="B162" s="27" t="s">
        <v>85</v>
      </c>
      <c r="C162" s="320">
        <f>(C161*C158+D161*D158+E161*E158)*C157</f>
        <v>3.0599999999999996</v>
      </c>
      <c r="D162" s="321"/>
      <c r="E162" s="322"/>
      <c r="F162" s="3"/>
      <c r="G162" s="39"/>
    </row>
    <row r="163" spans="2:9" x14ac:dyDescent="0.2">
      <c r="B163" s="27"/>
      <c r="C163" s="29"/>
      <c r="D163" s="3"/>
      <c r="E163" s="3"/>
      <c r="F163" s="3"/>
      <c r="G163" s="39"/>
    </row>
    <row r="164" spans="2:9" x14ac:dyDescent="0.2">
      <c r="B164" s="17"/>
      <c r="C164" s="2"/>
      <c r="D164" s="2"/>
      <c r="E164" s="2"/>
      <c r="F164" s="2"/>
      <c r="G164" s="78"/>
    </row>
    <row r="165" spans="2:9" x14ac:dyDescent="0.2">
      <c r="B165" s="16" t="s">
        <v>1</v>
      </c>
      <c r="C165" s="2"/>
      <c r="D165" s="2"/>
      <c r="E165" s="2"/>
      <c r="F165" s="2"/>
      <c r="G165" s="78"/>
    </row>
    <row r="166" spans="2:9" x14ac:dyDescent="0.2">
      <c r="B166" s="17" t="s">
        <v>2</v>
      </c>
      <c r="C166" s="3">
        <f>'Base Lease Info'!F25</f>
        <v>275</v>
      </c>
      <c r="D166" s="3">
        <f>'Base Lease Info'!G25</f>
        <v>150</v>
      </c>
      <c r="E166" s="3">
        <f>'Base Lease Info'!H25</f>
        <v>140</v>
      </c>
      <c r="F166" s="3">
        <f>'Base Lease Info'!I25</f>
        <v>150</v>
      </c>
      <c r="G166" s="39">
        <f>E166+F166</f>
        <v>290</v>
      </c>
      <c r="I166" t="s">
        <v>45</v>
      </c>
    </row>
    <row r="167" spans="2:9" x14ac:dyDescent="0.2">
      <c r="B167" s="17" t="s">
        <v>6</v>
      </c>
      <c r="C167" s="3">
        <f>'Base Lease Info'!F26</f>
        <v>140</v>
      </c>
      <c r="D167" s="3">
        <f>'Base Lease Info'!G26</f>
        <v>90</v>
      </c>
      <c r="E167" s="3">
        <f>'Base Lease Info'!H26</f>
        <v>90</v>
      </c>
      <c r="F167" s="3">
        <f>'Base Lease Info'!I26</f>
        <v>85</v>
      </c>
      <c r="G167" s="39">
        <f t="shared" ref="G167:G168" si="28">E167+F167</f>
        <v>175</v>
      </c>
      <c r="I167" t="s">
        <v>46</v>
      </c>
    </row>
    <row r="168" spans="2:9" x14ac:dyDescent="0.2">
      <c r="B168" s="17" t="s">
        <v>3</v>
      </c>
      <c r="C168" s="3">
        <f>'Base Lease Info'!F27</f>
        <v>60</v>
      </c>
      <c r="D168" s="3">
        <f>'Base Lease Info'!G27</f>
        <v>40</v>
      </c>
      <c r="E168" s="3">
        <f>'Base Lease Info'!H27</f>
        <v>40</v>
      </c>
      <c r="F168" s="3">
        <f>'Base Lease Info'!I27</f>
        <v>40</v>
      </c>
      <c r="G168" s="39">
        <f t="shared" si="28"/>
        <v>80</v>
      </c>
      <c r="I168" t="s">
        <v>47</v>
      </c>
    </row>
    <row r="169" spans="2:9" x14ac:dyDescent="0.2">
      <c r="B169" s="18" t="s">
        <v>4</v>
      </c>
      <c r="C169" s="6">
        <f>$C144</f>
        <v>236.24999999999997</v>
      </c>
      <c r="D169" s="6">
        <f>D144</f>
        <v>189</v>
      </c>
      <c r="E169" s="6">
        <f>E144</f>
        <v>129.67499999999998</v>
      </c>
      <c r="F169" s="6">
        <f>F144</f>
        <v>128.625</v>
      </c>
      <c r="G169" s="38">
        <f>G144</f>
        <v>258.3</v>
      </c>
      <c r="I169" t="s">
        <v>60</v>
      </c>
    </row>
    <row r="170" spans="2:9" x14ac:dyDescent="0.2">
      <c r="B170" s="24" t="s">
        <v>44</v>
      </c>
      <c r="C170" s="14">
        <f>SUM(C166:C169)</f>
        <v>711.25</v>
      </c>
      <c r="D170" s="14">
        <f>SUM(D166:D169)</f>
        <v>469</v>
      </c>
      <c r="E170" s="14">
        <f t="shared" ref="E170" si="29">SUM(E166:E169)</f>
        <v>399.67499999999995</v>
      </c>
      <c r="F170" s="14">
        <f>SUM(F166:F169)</f>
        <v>403.625</v>
      </c>
      <c r="G170" s="39">
        <f>SUM(G166:G169)</f>
        <v>803.3</v>
      </c>
      <c r="I170" t="s">
        <v>61</v>
      </c>
    </row>
    <row r="171" spans="2:9" x14ac:dyDescent="0.2">
      <c r="B171" s="17"/>
      <c r="C171" s="2"/>
      <c r="D171" s="2"/>
      <c r="E171" s="2"/>
      <c r="F171" s="2"/>
      <c r="G171" s="78"/>
    </row>
    <row r="172" spans="2:9" x14ac:dyDescent="0.2">
      <c r="B172" s="17" t="s">
        <v>8</v>
      </c>
      <c r="C172" s="3">
        <f>C154</f>
        <v>675</v>
      </c>
      <c r="D172" s="3">
        <f t="shared" ref="D172:G172" si="30">D154</f>
        <v>472.5</v>
      </c>
      <c r="E172" s="3">
        <f t="shared" si="30"/>
        <v>370.5</v>
      </c>
      <c r="F172" s="3">
        <f t="shared" si="30"/>
        <v>367.5</v>
      </c>
      <c r="G172" s="39">
        <f t="shared" si="30"/>
        <v>738</v>
      </c>
      <c r="I172" s="25" t="s">
        <v>67</v>
      </c>
    </row>
    <row r="173" spans="2:9" x14ac:dyDescent="0.2">
      <c r="B173" s="17" t="s">
        <v>9</v>
      </c>
      <c r="C173" s="5">
        <f>SUM(C166:C169)</f>
        <v>711.25</v>
      </c>
      <c r="D173" s="5">
        <f t="shared" ref="D173:G173" si="31">SUM(D166:D169)</f>
        <v>469</v>
      </c>
      <c r="E173" s="5">
        <f t="shared" si="31"/>
        <v>399.67499999999995</v>
      </c>
      <c r="F173" s="5">
        <f t="shared" si="31"/>
        <v>403.625</v>
      </c>
      <c r="G173" s="85">
        <f t="shared" si="31"/>
        <v>803.3</v>
      </c>
    </row>
    <row r="174" spans="2:9" x14ac:dyDescent="0.2">
      <c r="B174" s="21" t="s">
        <v>7</v>
      </c>
      <c r="C174" s="10">
        <f>C172-C173</f>
        <v>-36.25</v>
      </c>
      <c r="D174" s="10">
        <f>D172-D173</f>
        <v>3.5</v>
      </c>
      <c r="E174" s="10">
        <f>E172-E173</f>
        <v>-29.174999999999955</v>
      </c>
      <c r="F174" s="10">
        <f t="shared" ref="F174:G174" si="32">F172-F173</f>
        <v>-36.125</v>
      </c>
      <c r="G174" s="36">
        <f t="shared" si="32"/>
        <v>-65.299999999999955</v>
      </c>
      <c r="I174" t="s">
        <v>50</v>
      </c>
    </row>
    <row r="175" spans="2:9" ht="13.5" thickBot="1" x14ac:dyDescent="0.25">
      <c r="B175" s="22" t="s">
        <v>25</v>
      </c>
      <c r="C175" s="328">
        <f>IF('Base Lease Info'!F12='Base Lease Info'!L76,C174*'Base Lease Info'!F8 + D174*'Base Lease Info'!G8 + E174*'Base Lease Info'!H8 + F174*'Base Lease Info'!H8,C174*'Base Lease Info'!F8 + D174*'Base Lease Info'!G8 + G174*'Base Lease Info'!J8)</f>
        <v>-33.574999999999989</v>
      </c>
      <c r="D175" s="329"/>
      <c r="E175" s="329"/>
      <c r="F175" s="329"/>
      <c r="G175" s="330"/>
      <c r="I175" t="s">
        <v>51</v>
      </c>
    </row>
    <row r="176" spans="2:9" ht="13.5" thickTop="1" x14ac:dyDescent="0.2"/>
    <row r="177" spans="2:2" x14ac:dyDescent="0.2">
      <c r="B177" s="1" t="s">
        <v>59</v>
      </c>
    </row>
  </sheetData>
  <mergeCells count="36">
    <mergeCell ref="C50:G50"/>
    <mergeCell ref="B2:G2"/>
    <mergeCell ref="C3:D3"/>
    <mergeCell ref="C4:G4"/>
    <mergeCell ref="C5:G5"/>
    <mergeCell ref="C6:G6"/>
    <mergeCell ref="C13:G13"/>
    <mergeCell ref="C14:G14"/>
    <mergeCell ref="C30:E30"/>
    <mergeCell ref="C43:G43"/>
    <mergeCell ref="B48:G48"/>
    <mergeCell ref="C49:D49"/>
    <mergeCell ref="C102:G102"/>
    <mergeCell ref="C51:G51"/>
    <mergeCell ref="C52:G52"/>
    <mergeCell ref="C56:G56"/>
    <mergeCell ref="C57:G57"/>
    <mergeCell ref="C73:E73"/>
    <mergeCell ref="C86:G86"/>
    <mergeCell ref="B91:G91"/>
    <mergeCell ref="C92:D92"/>
    <mergeCell ref="C93:G93"/>
    <mergeCell ref="C94:G94"/>
    <mergeCell ref="C95:G95"/>
    <mergeCell ref="C175:G175"/>
    <mergeCell ref="C103:G103"/>
    <mergeCell ref="C119:E119"/>
    <mergeCell ref="C132:G132"/>
    <mergeCell ref="B137:G137"/>
    <mergeCell ref="C138:D138"/>
    <mergeCell ref="C139:G139"/>
    <mergeCell ref="C140:G140"/>
    <mergeCell ref="C141:G141"/>
    <mergeCell ref="C145:G145"/>
    <mergeCell ref="C146:G146"/>
    <mergeCell ref="C162:E162"/>
  </mergeCells>
  <pageMargins left="0.75" right="0.75" top="1" bottom="1" header="0.5" footer="0.5"/>
  <pageSetup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77"/>
  <sheetViews>
    <sheetView showGridLines="0" zoomScale="115" zoomScaleNormal="115" workbookViewId="0">
      <selection activeCell="F150" sqref="F150"/>
    </sheetView>
  </sheetViews>
  <sheetFormatPr defaultRowHeight="12.75" x14ac:dyDescent="0.2"/>
  <cols>
    <col min="1" max="1" width="2.42578125" customWidth="1"/>
    <col min="2" max="2" width="38.85546875" customWidth="1"/>
    <col min="3" max="3" width="12.140625" bestFit="1" customWidth="1"/>
    <col min="4" max="7" width="9.7109375" customWidth="1"/>
    <col min="8" max="8" width="3.42578125" customWidth="1"/>
    <col min="9" max="9" width="59.28515625" customWidth="1"/>
  </cols>
  <sheetData>
    <row r="1" spans="2:10" ht="13.5" thickBot="1" x14ac:dyDescent="0.25"/>
    <row r="2" spans="2:10" ht="17.25" thickTop="1" thickBot="1" x14ac:dyDescent="0.3">
      <c r="B2" s="334" t="s">
        <v>102</v>
      </c>
      <c r="C2" s="335"/>
      <c r="D2" s="335"/>
      <c r="E2" s="335"/>
      <c r="F2" s="335"/>
      <c r="G2" s="336"/>
      <c r="I2" s="7"/>
    </row>
    <row r="3" spans="2:10" ht="13.5" thickTop="1" x14ac:dyDescent="0.2">
      <c r="B3" s="68" t="s">
        <v>14</v>
      </c>
      <c r="C3" s="337"/>
      <c r="D3" s="337"/>
      <c r="E3" s="131"/>
      <c r="F3" s="131"/>
      <c r="G3" s="69"/>
      <c r="I3" s="7" t="s">
        <v>18</v>
      </c>
    </row>
    <row r="4" spans="2:10" x14ac:dyDescent="0.2">
      <c r="B4" s="17" t="s">
        <v>31</v>
      </c>
      <c r="C4" s="331">
        <f>'Base Lease Info'!F21</f>
        <v>150</v>
      </c>
      <c r="D4" s="332"/>
      <c r="E4" s="332"/>
      <c r="F4" s="332"/>
      <c r="G4" s="333"/>
      <c r="I4" s="7"/>
    </row>
    <row r="5" spans="2:10" x14ac:dyDescent="0.2">
      <c r="B5" s="17" t="s">
        <v>10</v>
      </c>
      <c r="C5" s="338">
        <f>'Base Lease Info'!F10</f>
        <v>125</v>
      </c>
      <c r="D5" s="339"/>
      <c r="E5" s="339"/>
      <c r="F5" s="339"/>
      <c r="G5" s="340"/>
      <c r="H5" s="15"/>
      <c r="I5" s="11"/>
    </row>
    <row r="6" spans="2:10" x14ac:dyDescent="0.2">
      <c r="B6" s="17" t="s">
        <v>32</v>
      </c>
      <c r="C6" s="331" t="str">
        <f>'Base Lease Info'!F11</f>
        <v>No</v>
      </c>
      <c r="D6" s="332"/>
      <c r="E6" s="332"/>
      <c r="F6" s="332"/>
      <c r="G6" s="333"/>
      <c r="H6" s="15"/>
      <c r="I6" s="11" t="s">
        <v>62</v>
      </c>
    </row>
    <row r="7" spans="2:10" x14ac:dyDescent="0.2">
      <c r="B7" s="17"/>
      <c r="C7" s="12" t="s">
        <v>22</v>
      </c>
      <c r="D7" s="12" t="s">
        <v>23</v>
      </c>
      <c r="E7" s="12" t="s">
        <v>73</v>
      </c>
      <c r="F7" s="12" t="s">
        <v>74</v>
      </c>
      <c r="G7" s="35" t="s">
        <v>76</v>
      </c>
      <c r="H7" s="15"/>
      <c r="I7" s="11"/>
    </row>
    <row r="8" spans="2:10" x14ac:dyDescent="0.2">
      <c r="B8" s="17" t="s">
        <v>28</v>
      </c>
      <c r="C8" s="13">
        <f>SUM('Base Lease Info'!F25:F27) + $C5</f>
        <v>600</v>
      </c>
      <c r="D8" s="13">
        <f>SUM('Base Lease Info'!G25:G27) + $C5</f>
        <v>405</v>
      </c>
      <c r="E8" s="13">
        <f>SUM('Base Lease Info'!H25:H27) + $C5</f>
        <v>395</v>
      </c>
      <c r="F8" s="13">
        <f>SUM('Base Lease Info'!I25:I27) + $C5</f>
        <v>400</v>
      </c>
      <c r="G8" s="70">
        <f>E8+F8</f>
        <v>795</v>
      </c>
      <c r="H8" s="15"/>
      <c r="I8" s="11" t="s">
        <v>54</v>
      </c>
    </row>
    <row r="9" spans="2:10" x14ac:dyDescent="0.2">
      <c r="B9" s="17" t="s">
        <v>11</v>
      </c>
      <c r="C9" s="30">
        <f>'Base Lease Info'!F16</f>
        <v>475</v>
      </c>
      <c r="D9" s="30">
        <f>'Base Lease Info'!G16</f>
        <v>325</v>
      </c>
      <c r="E9" s="30">
        <f>'Base Lease Info'!H16</f>
        <v>325</v>
      </c>
      <c r="F9" s="30">
        <f>'Base Lease Info'!I16</f>
        <v>250</v>
      </c>
      <c r="G9" s="70">
        <f>E9+F9</f>
        <v>575</v>
      </c>
      <c r="I9" s="11" t="s">
        <v>38</v>
      </c>
      <c r="J9" s="1"/>
    </row>
    <row r="10" spans="2:10" x14ac:dyDescent="0.2">
      <c r="B10" s="18" t="s">
        <v>12</v>
      </c>
      <c r="C10" s="31">
        <f>'Base Lease Info'!F17</f>
        <v>0.35</v>
      </c>
      <c r="D10" s="31">
        <f>'Base Lease Info'!G17</f>
        <v>0.4</v>
      </c>
      <c r="E10" s="31">
        <f>'Base Lease Info'!H17</f>
        <v>0.35</v>
      </c>
      <c r="F10" s="31">
        <f>'Base Lease Info'!I17</f>
        <v>0.35</v>
      </c>
      <c r="G10" s="71">
        <f>E10*(E17/G17) + F10*(F17/G17)</f>
        <v>0.35</v>
      </c>
      <c r="H10" s="15"/>
      <c r="I10" s="11" t="s">
        <v>39</v>
      </c>
    </row>
    <row r="11" spans="2:10" x14ac:dyDescent="0.2">
      <c r="B11" s="18" t="s">
        <v>55</v>
      </c>
      <c r="C11" s="10">
        <f>IF($C6='Base Lease Info'!$J$75,(C19+C20-C9)*C10,IF((C19 + C20) &gt; C9,(C19+C20-C9)*C10,0))</f>
        <v>70</v>
      </c>
      <c r="D11" s="10">
        <f>IF($C6='Base Lease Info'!$J$75,(D19+D20-D9)*D10,IF((D19 + D20) &gt; D9,(D19+D20-D9)*D10,0))</f>
        <v>59</v>
      </c>
      <c r="E11" s="10">
        <f>IF($C6='Base Lease Info'!$J$75,(E19+E20-E9)*E10,IF((E19 + E20) &gt; E9,(E19+E20-E9)*E10,0))</f>
        <v>15.924999999999979</v>
      </c>
      <c r="F11" s="10">
        <f>IF($C6='Base Lease Info'!$J$75,(F19+F20-F9)*F10,IF((F19 + F20) &gt; F9,(F19+F20-F9)*F10,0))</f>
        <v>41.125</v>
      </c>
      <c r="G11" s="36">
        <f>IF($C6='Base Lease Info'!$J$75,(G19+G20-G9)*G10,IF((G19 + G20) &gt; G9,(G19+G20-G9)*G10,0))</f>
        <v>57.049999999999955</v>
      </c>
      <c r="H11" s="15"/>
      <c r="I11" s="11" t="s">
        <v>57</v>
      </c>
    </row>
    <row r="12" spans="2:10" ht="15.75" x14ac:dyDescent="0.25">
      <c r="B12" s="19" t="s">
        <v>56</v>
      </c>
      <c r="C12" s="9">
        <f>IF($C6='Base Lease Info'!$J$75,$C5+(C19+C20-C9)*C10,IF((C19 + C20) &gt; C9,$C5+(C19+C20-C9)*C10,$C5))</f>
        <v>195</v>
      </c>
      <c r="D12" s="9">
        <f>IF($C6='Base Lease Info'!$J$75,$C5+(D19+D20-D9)*D10,IF((D19 + D20) &gt; D9,$C5+(D19+D20-D9)*D10,$C5))</f>
        <v>184</v>
      </c>
      <c r="E12" s="9">
        <f>IF($C6='Base Lease Info'!$J$75,$C5/2+(E19+E20-E9)*E10,IF((E19 + E20) &gt; E9,$C5/2+(E19+E20-E9)*E10,$C5/2))</f>
        <v>78.424999999999983</v>
      </c>
      <c r="F12" s="9">
        <f>IF($C6='Base Lease Info'!$J$75,$C5/2+(F19+F20-F9)*F10,IF((F19 + F20) &gt; F9,$C5/2+(F19+F20-F9)*F10,$C5/2))</f>
        <v>103.625</v>
      </c>
      <c r="G12" s="72">
        <f>IF($C6='Base Lease Info'!$J$75,$C5+(G19+G20-G9)*G10,IF((G19 + G20) &gt; G9,$C5+(G19+G20-G9)*G10,$C5))</f>
        <v>182.04999999999995</v>
      </c>
      <c r="I12" t="s">
        <v>40</v>
      </c>
    </row>
    <row r="13" spans="2:10" ht="15.75" x14ac:dyDescent="0.25">
      <c r="B13" s="19" t="s">
        <v>58</v>
      </c>
      <c r="C13" s="323">
        <f>IF('Base Lease Info'!F12='Base Lease Info'!L75,C12*'Base Lease Info'!F8 + D12*'Base Lease Info'!G8 + G12*'Base Lease Info'!J8, C12*'Base Lease Info'!F8 + D12*'Base Lease Info'!G8 + E12*'Base Lease Info'!H8 + F12*'Base Lease Info'!H8)</f>
        <v>189.01249999999999</v>
      </c>
      <c r="D13" s="323"/>
      <c r="E13" s="323"/>
      <c r="F13" s="323"/>
      <c r="G13" s="324"/>
      <c r="I13" t="s">
        <v>48</v>
      </c>
    </row>
    <row r="14" spans="2:10" x14ac:dyDescent="0.2">
      <c r="B14" s="17" t="s">
        <v>19</v>
      </c>
      <c r="C14" s="325">
        <f>C13/$C4-1</f>
        <v>0.26008333333333322</v>
      </c>
      <c r="D14" s="326"/>
      <c r="E14" s="326"/>
      <c r="F14" s="326"/>
      <c r="G14" s="327"/>
      <c r="I14" t="s">
        <v>49</v>
      </c>
    </row>
    <row r="15" spans="2:10" x14ac:dyDescent="0.2">
      <c r="B15" s="17"/>
      <c r="C15" s="8"/>
      <c r="D15" s="8"/>
      <c r="E15" s="8"/>
      <c r="F15" s="8"/>
      <c r="G15" s="73"/>
    </row>
    <row r="16" spans="2:10" x14ac:dyDescent="0.2">
      <c r="B16" s="20" t="s">
        <v>20</v>
      </c>
      <c r="C16" s="12" t="s">
        <v>22</v>
      </c>
      <c r="D16" s="12" t="s">
        <v>23</v>
      </c>
      <c r="E16" s="12" t="s">
        <v>73</v>
      </c>
      <c r="F16" s="12" t="s">
        <v>74</v>
      </c>
      <c r="G16" s="35" t="s">
        <v>76</v>
      </c>
    </row>
    <row r="17" spans="2:9" x14ac:dyDescent="0.2">
      <c r="B17" s="17" t="s">
        <v>0</v>
      </c>
      <c r="C17" s="32">
        <f>'Base Lease Info'!F4</f>
        <v>150</v>
      </c>
      <c r="D17" s="32">
        <f>'Base Lease Info'!G4</f>
        <v>45</v>
      </c>
      <c r="E17" s="32">
        <f>'Base Lease Info'!H4</f>
        <v>65</v>
      </c>
      <c r="F17" s="32">
        <f>'Base Lease Info'!I4</f>
        <v>35</v>
      </c>
      <c r="G17" s="74">
        <f>E17+F17</f>
        <v>100</v>
      </c>
      <c r="I17" t="s">
        <v>26</v>
      </c>
    </row>
    <row r="18" spans="2:9" x14ac:dyDescent="0.2">
      <c r="B18" s="17" t="s">
        <v>21</v>
      </c>
      <c r="C18" s="89">
        <f>'Base Lease Info'!B48</f>
        <v>4.5</v>
      </c>
      <c r="D18" s="89">
        <f>'Base Lease Info'!C48</f>
        <v>10.5</v>
      </c>
      <c r="E18" s="89">
        <f>'Base Lease Info'!E48</f>
        <v>5.6999999999999993</v>
      </c>
      <c r="F18" s="26">
        <f>D18</f>
        <v>10.5</v>
      </c>
      <c r="G18" s="81">
        <f>E18*(E17/G17) + F18*(F17/G17)</f>
        <v>7.379999999999999</v>
      </c>
      <c r="I18" t="s">
        <v>27</v>
      </c>
    </row>
    <row r="19" spans="2:9" x14ac:dyDescent="0.2">
      <c r="B19" s="17" t="s">
        <v>5</v>
      </c>
      <c r="C19" s="3">
        <f>C17*C18</f>
        <v>675</v>
      </c>
      <c r="D19" s="3">
        <f>D17*D18</f>
        <v>472.5</v>
      </c>
      <c r="E19" s="3">
        <f t="shared" ref="E19:F19" si="0">E17*E18</f>
        <v>370.49999999999994</v>
      </c>
      <c r="F19" s="3">
        <f t="shared" si="0"/>
        <v>367.5</v>
      </c>
      <c r="G19" s="46">
        <f>G17*G18</f>
        <v>737.99999999999989</v>
      </c>
      <c r="I19" t="s">
        <v>41</v>
      </c>
    </row>
    <row r="20" spans="2:9" x14ac:dyDescent="0.2">
      <c r="B20" s="17" t="s">
        <v>13</v>
      </c>
      <c r="C20" s="3">
        <f>IF('Base Lease Info'!$F6='Base Lease Info'!$J$75,$C30,0)</f>
        <v>0</v>
      </c>
      <c r="D20" s="3">
        <f>IF('Base Lease Info'!$F6='Base Lease Info'!$J$75,$C30,0)</f>
        <v>0</v>
      </c>
      <c r="E20" s="3">
        <f>IF('Base Lease Info'!$F6='Base Lease Info'!$J$75,$C30,0)</f>
        <v>0</v>
      </c>
      <c r="F20" s="3">
        <f>IF('Base Lease Info'!$F6='Base Lease Info'!$J$75,$C30,0)</f>
        <v>0</v>
      </c>
      <c r="G20" s="39">
        <f>IF('Base Lease Info'!$F6='Base Lease Info'!$J$75,$C30,0)</f>
        <v>0</v>
      </c>
      <c r="I20" s="25" t="s">
        <v>63</v>
      </c>
    </row>
    <row r="21" spans="2:9" x14ac:dyDescent="0.2">
      <c r="B21" s="27" t="s">
        <v>107</v>
      </c>
      <c r="C21" s="6">
        <f>'Base Lease Info'!E80</f>
        <v>0</v>
      </c>
      <c r="D21" s="6">
        <f>'Base Lease Info'!F80</f>
        <v>0</v>
      </c>
      <c r="E21" s="6">
        <f>'Base Lease Info'!G80</f>
        <v>0</v>
      </c>
      <c r="F21" s="6">
        <f>'Base Lease Info'!H80</f>
        <v>0</v>
      </c>
      <c r="G21" s="38">
        <f>'Base Lease Info'!I80</f>
        <v>0</v>
      </c>
      <c r="I21" s="25"/>
    </row>
    <row r="22" spans="2:9" x14ac:dyDescent="0.2">
      <c r="B22" s="24" t="s">
        <v>43</v>
      </c>
      <c r="C22" s="14">
        <f>SUM(C19:C21)</f>
        <v>675</v>
      </c>
      <c r="D22" s="14">
        <f t="shared" ref="D22:G22" si="1">SUM(D19:D21)</f>
        <v>472.5</v>
      </c>
      <c r="E22" s="14">
        <f t="shared" si="1"/>
        <v>370.49999999999994</v>
      </c>
      <c r="F22" s="14">
        <f t="shared" si="1"/>
        <v>367.5</v>
      </c>
      <c r="G22" s="76">
        <f t="shared" si="1"/>
        <v>737.99999999999989</v>
      </c>
      <c r="I22" t="s">
        <v>42</v>
      </c>
    </row>
    <row r="23" spans="2:9" x14ac:dyDescent="0.2">
      <c r="B23" s="24"/>
      <c r="C23" s="14"/>
      <c r="D23" s="14"/>
      <c r="E23" s="14"/>
      <c r="F23" s="14"/>
      <c r="G23" s="76"/>
    </row>
    <row r="24" spans="2:9" x14ac:dyDescent="0.2">
      <c r="B24" s="40" t="s">
        <v>79</v>
      </c>
      <c r="C24" s="14"/>
      <c r="D24" s="14"/>
      <c r="E24" s="14"/>
      <c r="F24" s="14"/>
      <c r="G24" s="76"/>
    </row>
    <row r="25" spans="2:9" x14ac:dyDescent="0.2">
      <c r="B25" s="27" t="s">
        <v>81</v>
      </c>
      <c r="C25" s="95">
        <f>'Base Lease Info'!E83</f>
        <v>0.8</v>
      </c>
      <c r="D25" s="96"/>
      <c r="E25" s="96"/>
      <c r="F25" s="4"/>
      <c r="G25" s="37"/>
    </row>
    <row r="26" spans="2:9" x14ac:dyDescent="0.2">
      <c r="B26" s="27" t="s">
        <v>80</v>
      </c>
      <c r="C26" s="95">
        <f>'Base Lease Info'!E84</f>
        <v>0.5</v>
      </c>
      <c r="D26" s="95">
        <f>'Base Lease Info'!F84</f>
        <v>0.4</v>
      </c>
      <c r="E26" s="95">
        <f>'Base Lease Info'!G84</f>
        <v>9.9999999999999978E-2</v>
      </c>
      <c r="F26" s="3"/>
      <c r="G26" s="39"/>
    </row>
    <row r="27" spans="2:9" x14ac:dyDescent="0.2">
      <c r="B27" s="27" t="s">
        <v>82</v>
      </c>
      <c r="C27" s="93">
        <f>'Base Lease Info'!E85</f>
        <v>3.7</v>
      </c>
      <c r="D27" s="93">
        <f>'Base Lease Info'!F85</f>
        <v>8.4</v>
      </c>
      <c r="E27" s="93">
        <f>'Base Lease Info'!G85</f>
        <v>5.5</v>
      </c>
      <c r="F27" s="3"/>
      <c r="G27" s="39"/>
    </row>
    <row r="28" spans="2:9" x14ac:dyDescent="0.2">
      <c r="B28" s="27" t="s">
        <v>83</v>
      </c>
      <c r="C28" s="97">
        <f>'Base Lease Info'!E86</f>
        <v>155</v>
      </c>
      <c r="D28" s="97">
        <f>'Base Lease Info'!F86</f>
        <v>48</v>
      </c>
      <c r="E28" s="97">
        <f>'Base Lease Info'!G86</f>
        <v>60</v>
      </c>
      <c r="F28" s="28"/>
      <c r="G28" s="77"/>
    </row>
    <row r="29" spans="2:9" x14ac:dyDescent="0.2">
      <c r="B29" s="27" t="s">
        <v>84</v>
      </c>
      <c r="C29" s="94">
        <f>IF(C18&lt;C27,(C27-C18)*C28*0.85,0)</f>
        <v>0</v>
      </c>
      <c r="D29" s="94">
        <f t="shared" ref="D29:E29" si="2">IF(D18&lt;D27,(D27-D18)*D28*0.85,0)</f>
        <v>0</v>
      </c>
      <c r="E29" s="94">
        <f t="shared" si="2"/>
        <v>0</v>
      </c>
      <c r="F29" s="28"/>
      <c r="G29" s="77"/>
    </row>
    <row r="30" spans="2:9" x14ac:dyDescent="0.2">
      <c r="B30" s="27" t="s">
        <v>85</v>
      </c>
      <c r="C30" s="320">
        <f>(C29*C26+D29*D26+E29*E26)*C25</f>
        <v>0</v>
      </c>
      <c r="D30" s="321"/>
      <c r="E30" s="322"/>
      <c r="F30" s="3"/>
      <c r="G30" s="39"/>
    </row>
    <row r="31" spans="2:9" x14ac:dyDescent="0.2">
      <c r="B31" s="27"/>
      <c r="C31" s="29"/>
      <c r="D31" s="3"/>
      <c r="E31" s="3"/>
      <c r="F31" s="3"/>
      <c r="G31" s="39"/>
    </row>
    <row r="32" spans="2:9" x14ac:dyDescent="0.2">
      <c r="B32" s="17"/>
      <c r="C32" s="2"/>
      <c r="D32" s="2"/>
      <c r="E32" s="2"/>
      <c r="F32" s="2"/>
      <c r="G32" s="78"/>
    </row>
    <row r="33" spans="2:9" x14ac:dyDescent="0.2">
      <c r="B33" s="16" t="s">
        <v>1</v>
      </c>
      <c r="C33" s="2"/>
      <c r="D33" s="2"/>
      <c r="E33" s="2"/>
      <c r="F33" s="2"/>
      <c r="G33" s="78"/>
    </row>
    <row r="34" spans="2:9" x14ac:dyDescent="0.2">
      <c r="B34" s="17" t="s">
        <v>2</v>
      </c>
      <c r="C34" s="3">
        <f>'Base Lease Info'!F25</f>
        <v>275</v>
      </c>
      <c r="D34" s="3">
        <f>'Base Lease Info'!G25</f>
        <v>150</v>
      </c>
      <c r="E34" s="3">
        <f>'Base Lease Info'!H25</f>
        <v>140</v>
      </c>
      <c r="F34" s="3">
        <f>'Base Lease Info'!I25</f>
        <v>150</v>
      </c>
      <c r="G34" s="39">
        <f>E34+F34</f>
        <v>290</v>
      </c>
      <c r="I34" t="s">
        <v>45</v>
      </c>
    </row>
    <row r="35" spans="2:9" x14ac:dyDescent="0.2">
      <c r="B35" s="17" t="s">
        <v>6</v>
      </c>
      <c r="C35" s="3">
        <f>'Base Lease Info'!F26</f>
        <v>140</v>
      </c>
      <c r="D35" s="3">
        <f>'Base Lease Info'!G26</f>
        <v>90</v>
      </c>
      <c r="E35" s="3">
        <f>'Base Lease Info'!H26</f>
        <v>90</v>
      </c>
      <c r="F35" s="3">
        <f>'Base Lease Info'!I26</f>
        <v>85</v>
      </c>
      <c r="G35" s="39">
        <f t="shared" ref="G35:G36" si="3">E35+F35</f>
        <v>175</v>
      </c>
      <c r="I35" t="s">
        <v>46</v>
      </c>
    </row>
    <row r="36" spans="2:9" x14ac:dyDescent="0.2">
      <c r="B36" s="17" t="s">
        <v>3</v>
      </c>
      <c r="C36" s="3">
        <f>'Base Lease Info'!F27</f>
        <v>60</v>
      </c>
      <c r="D36" s="3">
        <f>'Base Lease Info'!G27</f>
        <v>40</v>
      </c>
      <c r="E36" s="3">
        <f>'Base Lease Info'!H27</f>
        <v>40</v>
      </c>
      <c r="F36" s="3">
        <f>'Base Lease Info'!I27</f>
        <v>40</v>
      </c>
      <c r="G36" s="39">
        <f t="shared" si="3"/>
        <v>80</v>
      </c>
      <c r="I36" t="s">
        <v>47</v>
      </c>
    </row>
    <row r="37" spans="2:9" x14ac:dyDescent="0.2">
      <c r="B37" s="17" t="s">
        <v>4</v>
      </c>
      <c r="C37" s="6">
        <f>$C12</f>
        <v>195</v>
      </c>
      <c r="D37" s="6">
        <f>D12</f>
        <v>184</v>
      </c>
      <c r="E37" s="6">
        <f t="shared" ref="E37:F37" si="4">E12</f>
        <v>78.424999999999983</v>
      </c>
      <c r="F37" s="6">
        <f t="shared" si="4"/>
        <v>103.625</v>
      </c>
      <c r="G37" s="38">
        <f>G12</f>
        <v>182.04999999999995</v>
      </c>
      <c r="I37" t="s">
        <v>60</v>
      </c>
    </row>
    <row r="38" spans="2:9" x14ac:dyDescent="0.2">
      <c r="B38" s="24" t="s">
        <v>44</v>
      </c>
      <c r="C38" s="14">
        <f>SUM(C34:C37)</f>
        <v>670</v>
      </c>
      <c r="D38" s="14">
        <f>SUM(D34:D37)</f>
        <v>464</v>
      </c>
      <c r="E38" s="14">
        <f t="shared" ref="E38" si="5">SUM(E34:E37)</f>
        <v>348.42499999999995</v>
      </c>
      <c r="F38" s="14">
        <f>SUM(F34:F37)</f>
        <v>378.625</v>
      </c>
      <c r="G38" s="39">
        <f>SUM(G34:G37)</f>
        <v>727.05</v>
      </c>
      <c r="I38" t="s">
        <v>61</v>
      </c>
    </row>
    <row r="39" spans="2:9" x14ac:dyDescent="0.2">
      <c r="B39" s="17"/>
      <c r="C39" s="2"/>
      <c r="D39" s="2"/>
      <c r="E39" s="2"/>
      <c r="F39" s="2"/>
      <c r="G39" s="78"/>
    </row>
    <row r="40" spans="2:9" x14ac:dyDescent="0.2">
      <c r="B40" s="18" t="s">
        <v>8</v>
      </c>
      <c r="C40" s="3">
        <f>C22</f>
        <v>675</v>
      </c>
      <c r="D40" s="3">
        <f t="shared" ref="D40:G40" si="6">D22</f>
        <v>472.5</v>
      </c>
      <c r="E40" s="3">
        <f t="shared" si="6"/>
        <v>370.49999999999994</v>
      </c>
      <c r="F40" s="3">
        <f t="shared" si="6"/>
        <v>367.5</v>
      </c>
      <c r="G40" s="39">
        <f t="shared" si="6"/>
        <v>737.99999999999989</v>
      </c>
      <c r="I40" s="25" t="s">
        <v>67</v>
      </c>
    </row>
    <row r="41" spans="2:9" x14ac:dyDescent="0.2">
      <c r="B41" s="17" t="s">
        <v>9</v>
      </c>
      <c r="C41" s="5">
        <f>SUM(C34:C37)</f>
        <v>670</v>
      </c>
      <c r="D41" s="5">
        <f>SUM(D34:D37)</f>
        <v>464</v>
      </c>
      <c r="E41" s="5">
        <f t="shared" ref="E41" si="7">SUM(E34:E37)</f>
        <v>348.42499999999995</v>
      </c>
      <c r="F41" s="5">
        <f>SUM(F34:F37)</f>
        <v>378.625</v>
      </c>
      <c r="G41" s="39">
        <f>SUM(G34:G37)</f>
        <v>727.05</v>
      </c>
    </row>
    <row r="42" spans="2:9" x14ac:dyDescent="0.2">
      <c r="B42" s="21" t="s">
        <v>7</v>
      </c>
      <c r="C42" s="10">
        <f>C40-C41</f>
        <v>5</v>
      </c>
      <c r="D42" s="10">
        <f>D40-D41</f>
        <v>8.5</v>
      </c>
      <c r="E42" s="10">
        <f>E40-E41</f>
        <v>22.074999999999989</v>
      </c>
      <c r="F42" s="10">
        <f t="shared" ref="F42:G42" si="8">F40-F41</f>
        <v>-11.125</v>
      </c>
      <c r="G42" s="36">
        <f t="shared" si="8"/>
        <v>10.949999999999932</v>
      </c>
      <c r="I42" t="s">
        <v>50</v>
      </c>
    </row>
    <row r="43" spans="2:9" ht="13.5" thickBot="1" x14ac:dyDescent="0.25">
      <c r="B43" s="22" t="s">
        <v>25</v>
      </c>
      <c r="C43" s="328">
        <f>IF('Base Lease Info'!F12='Base Lease Info'!L76,C42*'Base Lease Info'!F8 + D42*'Base Lease Info'!G8 + E42*'Base Lease Info'!H8 + F42*'Base Lease Info'!H8,C42*'Base Lease Info'!F8 + D42*'Base Lease Info'!G8 + G42*'Base Lease Info'!J8)</f>
        <v>7.3624999999999829</v>
      </c>
      <c r="D43" s="329"/>
      <c r="E43" s="329"/>
      <c r="F43" s="329"/>
      <c r="G43" s="330"/>
      <c r="I43" t="s">
        <v>51</v>
      </c>
    </row>
    <row r="44" spans="2:9" ht="13.5" thickTop="1" x14ac:dyDescent="0.2"/>
    <row r="45" spans="2:9" x14ac:dyDescent="0.2">
      <c r="B45" s="1" t="s">
        <v>59</v>
      </c>
    </row>
    <row r="47" spans="2:9" ht="13.5" customHeight="1" thickBot="1" x14ac:dyDescent="0.25"/>
    <row r="48" spans="2:9" ht="17.25" thickTop="1" thickBot="1" x14ac:dyDescent="0.3">
      <c r="B48" s="334" t="s">
        <v>103</v>
      </c>
      <c r="C48" s="335"/>
      <c r="D48" s="335"/>
      <c r="E48" s="335"/>
      <c r="F48" s="335"/>
      <c r="G48" s="336"/>
      <c r="I48" s="7"/>
    </row>
    <row r="49" spans="2:11" ht="13.5" thickTop="1" x14ac:dyDescent="0.2">
      <c r="B49" s="68" t="s">
        <v>14</v>
      </c>
      <c r="C49" s="337"/>
      <c r="D49" s="337"/>
      <c r="E49" s="131"/>
      <c r="F49" s="131"/>
      <c r="G49" s="69"/>
      <c r="I49" s="7" t="s">
        <v>18</v>
      </c>
    </row>
    <row r="50" spans="2:11" x14ac:dyDescent="0.2">
      <c r="B50" s="17" t="s">
        <v>31</v>
      </c>
      <c r="C50" s="331">
        <f>'Base Lease Info'!F21</f>
        <v>150</v>
      </c>
      <c r="D50" s="332"/>
      <c r="E50" s="332"/>
      <c r="F50" s="332"/>
      <c r="G50" s="333"/>
      <c r="I50" s="7"/>
    </row>
    <row r="51" spans="2:11" x14ac:dyDescent="0.2">
      <c r="B51" s="17" t="s">
        <v>10</v>
      </c>
      <c r="C51" s="338">
        <f>'Base Lease Info'!F10</f>
        <v>125</v>
      </c>
      <c r="D51" s="339"/>
      <c r="E51" s="339"/>
      <c r="F51" s="339"/>
      <c r="G51" s="340"/>
      <c r="H51" s="15"/>
      <c r="I51" s="11"/>
    </row>
    <row r="52" spans="2:11" x14ac:dyDescent="0.2">
      <c r="B52" s="17" t="s">
        <v>32</v>
      </c>
      <c r="C52" s="331" t="str">
        <f>'Base Lease Info'!F11</f>
        <v>No</v>
      </c>
      <c r="D52" s="332"/>
      <c r="E52" s="332"/>
      <c r="F52" s="332"/>
      <c r="G52" s="333"/>
      <c r="H52" s="15"/>
      <c r="I52" s="11" t="s">
        <v>62</v>
      </c>
    </row>
    <row r="53" spans="2:11" x14ac:dyDescent="0.2">
      <c r="B53" s="27"/>
      <c r="C53" s="12" t="s">
        <v>22</v>
      </c>
      <c r="D53" s="12" t="s">
        <v>23</v>
      </c>
      <c r="E53" s="12" t="s">
        <v>73</v>
      </c>
      <c r="F53" s="12" t="s">
        <v>74</v>
      </c>
      <c r="G53" s="35" t="s">
        <v>76</v>
      </c>
      <c r="H53" s="15"/>
      <c r="I53" s="11"/>
    </row>
    <row r="54" spans="2:11" x14ac:dyDescent="0.2">
      <c r="B54" s="80" t="s">
        <v>12</v>
      </c>
      <c r="C54" s="31">
        <f>'Base Lease Info'!F17</f>
        <v>0.35</v>
      </c>
      <c r="D54" s="31">
        <f>'Base Lease Info'!G17</f>
        <v>0.4</v>
      </c>
      <c r="E54" s="31">
        <f>'Base Lease Info'!H17</f>
        <v>0.35</v>
      </c>
      <c r="F54" s="31">
        <f>'Base Lease Info'!I17</f>
        <v>0.35</v>
      </c>
      <c r="G54" s="71">
        <f>E54*(E60/G60) + F54*(F60/G60)</f>
        <v>0.35</v>
      </c>
      <c r="H54" s="15"/>
      <c r="I54" s="11" t="s">
        <v>39</v>
      </c>
    </row>
    <row r="55" spans="2:11" ht="15.75" x14ac:dyDescent="0.25">
      <c r="B55" s="19" t="s">
        <v>91</v>
      </c>
      <c r="C55" s="9">
        <f>IF($C$52='Base Lease Info'!$J$75,C83*C54,IF(C83*C54&gt;$C$51,C83*C54,$C$51))</f>
        <v>236.24999999999997</v>
      </c>
      <c r="D55" s="9">
        <f>IF($C$52='Base Lease Info'!$J$75,D83*D54,IF(D83*D54&gt;$C$51,D83*D54,$C$51))</f>
        <v>189</v>
      </c>
      <c r="E55" s="9">
        <f>IF($C$52='Base Lease Info'!$J$75,E83*E54,IF(E83*E54&gt;$C$51/2,E83*E54,$C$51/2))</f>
        <v>129.67499999999998</v>
      </c>
      <c r="F55" s="9">
        <f>IF($C$52='Base Lease Info'!$J$75,F83*F54,IF(F83*F54&gt;$C$51/2,F83*F54,$C$51/2))</f>
        <v>128.625</v>
      </c>
      <c r="G55" s="72">
        <f>IF($C$52='Base Lease Info'!$J$75,G83*G54,IF(G83*G54&gt;$C$51,G83*G54,$C$51))</f>
        <v>258.29999999999995</v>
      </c>
      <c r="I55" t="s">
        <v>40</v>
      </c>
    </row>
    <row r="56" spans="2:11" ht="15.75" x14ac:dyDescent="0.25">
      <c r="B56" s="19" t="s">
        <v>58</v>
      </c>
      <c r="C56" s="323">
        <f>IF('Base Lease Info'!F12='Base Lease Info'!L75,C55*'Base Lease Info'!F8 + D55*'Base Lease Info'!G8 + G55*'Base Lease Info'!J8, C55*'Base Lease Info'!F8 + D55*'Base Lease Info'!G8 + E55*'Base Lease Info'!H8 + F55*'Base Lease Info'!H8)</f>
        <v>229.95</v>
      </c>
      <c r="D56" s="323"/>
      <c r="E56" s="323"/>
      <c r="F56" s="323"/>
      <c r="G56" s="324"/>
      <c r="I56" t="s">
        <v>48</v>
      </c>
    </row>
    <row r="57" spans="2:11" x14ac:dyDescent="0.2">
      <c r="B57" s="17" t="s">
        <v>19</v>
      </c>
      <c r="C57" s="325">
        <f>C56/$C50-1</f>
        <v>0.53299999999999992</v>
      </c>
      <c r="D57" s="326"/>
      <c r="E57" s="326"/>
      <c r="F57" s="326"/>
      <c r="G57" s="327"/>
      <c r="I57" t="s">
        <v>49</v>
      </c>
    </row>
    <row r="58" spans="2:11" x14ac:dyDescent="0.2">
      <c r="B58" s="17"/>
      <c r="C58" s="8"/>
      <c r="D58" s="8"/>
      <c r="E58" s="8"/>
      <c r="F58" s="8"/>
      <c r="G58" s="73"/>
    </row>
    <row r="59" spans="2:11" x14ac:dyDescent="0.2">
      <c r="B59" s="20" t="s">
        <v>20</v>
      </c>
      <c r="C59" s="12" t="s">
        <v>22</v>
      </c>
      <c r="D59" s="12" t="s">
        <v>23</v>
      </c>
      <c r="E59" s="12" t="s">
        <v>73</v>
      </c>
      <c r="F59" s="12" t="s">
        <v>74</v>
      </c>
      <c r="G59" s="35" t="s">
        <v>76</v>
      </c>
    </row>
    <row r="60" spans="2:11" x14ac:dyDescent="0.2">
      <c r="B60" s="17" t="s">
        <v>0</v>
      </c>
      <c r="C60" s="32">
        <f>'Base Lease Info'!F4</f>
        <v>150</v>
      </c>
      <c r="D60" s="32">
        <f>'Base Lease Info'!G4</f>
        <v>45</v>
      </c>
      <c r="E60" s="32">
        <f>'Base Lease Info'!H4</f>
        <v>65</v>
      </c>
      <c r="F60" s="32">
        <f>'Base Lease Info'!I4</f>
        <v>35</v>
      </c>
      <c r="G60" s="74">
        <f>E60+F60</f>
        <v>100</v>
      </c>
      <c r="I60" t="s">
        <v>26</v>
      </c>
      <c r="K60" s="82"/>
    </row>
    <row r="61" spans="2:11" x14ac:dyDescent="0.2">
      <c r="B61" s="17" t="s">
        <v>21</v>
      </c>
      <c r="C61" s="89">
        <f>'Base Lease Info'!B48</f>
        <v>4.5</v>
      </c>
      <c r="D61" s="89">
        <f>'Base Lease Info'!C48</f>
        <v>10.5</v>
      </c>
      <c r="E61" s="89">
        <f>'Base Lease Info'!E48</f>
        <v>5.6999999999999993</v>
      </c>
      <c r="F61" s="26">
        <f>D61</f>
        <v>10.5</v>
      </c>
      <c r="G61" s="75">
        <f>E61*(E60/G60) + F61*(F60/G60)</f>
        <v>7.379999999999999</v>
      </c>
      <c r="I61" t="s">
        <v>27</v>
      </c>
    </row>
    <row r="62" spans="2:11" x14ac:dyDescent="0.2">
      <c r="B62" s="17" t="s">
        <v>5</v>
      </c>
      <c r="C62" s="3">
        <f>C60*C61</f>
        <v>675</v>
      </c>
      <c r="D62" s="3">
        <f>D60*D61</f>
        <v>472.5</v>
      </c>
      <c r="E62" s="3">
        <f t="shared" ref="E62:F62" si="9">E60*E61</f>
        <v>370.49999999999994</v>
      </c>
      <c r="F62" s="3">
        <f t="shared" si="9"/>
        <v>367.5</v>
      </c>
      <c r="G62" s="46">
        <f>G60*G61</f>
        <v>737.99999999999989</v>
      </c>
      <c r="I62" t="s">
        <v>41</v>
      </c>
    </row>
    <row r="63" spans="2:11" x14ac:dyDescent="0.2">
      <c r="B63" s="17" t="s">
        <v>13</v>
      </c>
      <c r="C63" s="3">
        <f>IF('Base Lease Info'!$F6='Base Lease Info'!$J$75,$C73,0)</f>
        <v>0</v>
      </c>
      <c r="D63" s="3">
        <f>IF('Base Lease Info'!$F6='Base Lease Info'!$J$75,$C73,0)</f>
        <v>0</v>
      </c>
      <c r="E63" s="3">
        <f>IF('Base Lease Info'!$F6='Base Lease Info'!$J$75,$C73,0)</f>
        <v>0</v>
      </c>
      <c r="F63" s="3">
        <f>IF('Base Lease Info'!$F6='Base Lease Info'!$J$75,$C73,0)</f>
        <v>0</v>
      </c>
      <c r="G63" s="39">
        <f>IF('Base Lease Info'!$F6='Base Lease Info'!$J$75,$C73,0)</f>
        <v>0</v>
      </c>
      <c r="I63" s="25" t="s">
        <v>63</v>
      </c>
    </row>
    <row r="64" spans="2:11" x14ac:dyDescent="0.2">
      <c r="B64" s="27" t="s">
        <v>107</v>
      </c>
      <c r="C64" s="6">
        <f>'Base Lease Info'!E80</f>
        <v>0</v>
      </c>
      <c r="D64" s="6">
        <f>'Base Lease Info'!F80</f>
        <v>0</v>
      </c>
      <c r="E64" s="6">
        <f>'Base Lease Info'!G80</f>
        <v>0</v>
      </c>
      <c r="F64" s="6">
        <f>'Base Lease Info'!H80</f>
        <v>0</v>
      </c>
      <c r="G64" s="38">
        <f>'Base Lease Info'!I80</f>
        <v>0</v>
      </c>
      <c r="I64" s="25"/>
    </row>
    <row r="65" spans="2:9" x14ac:dyDescent="0.2">
      <c r="B65" s="24" t="s">
        <v>43</v>
      </c>
      <c r="C65" s="14">
        <f>SUM(C62:C64)</f>
        <v>675</v>
      </c>
      <c r="D65" s="14">
        <f t="shared" ref="D65:G65" si="10">SUM(D62:D64)</f>
        <v>472.5</v>
      </c>
      <c r="E65" s="14">
        <f t="shared" si="10"/>
        <v>370.49999999999994</v>
      </c>
      <c r="F65" s="14">
        <f>SUM(F62:F64)</f>
        <v>367.5</v>
      </c>
      <c r="G65" s="76">
        <f t="shared" si="10"/>
        <v>737.99999999999989</v>
      </c>
      <c r="I65" t="s">
        <v>42</v>
      </c>
    </row>
    <row r="66" spans="2:9" x14ac:dyDescent="0.2">
      <c r="B66" s="24"/>
      <c r="C66" s="14"/>
      <c r="D66" s="14"/>
      <c r="E66" s="14"/>
      <c r="F66" s="14"/>
      <c r="G66" s="76"/>
    </row>
    <row r="67" spans="2:9" x14ac:dyDescent="0.2">
      <c r="B67" s="40" t="s">
        <v>79</v>
      </c>
      <c r="C67" s="14"/>
      <c r="D67" s="14"/>
      <c r="E67" s="14"/>
      <c r="F67" s="14"/>
      <c r="G67" s="76"/>
    </row>
    <row r="68" spans="2:9" x14ac:dyDescent="0.2">
      <c r="B68" s="27" t="s">
        <v>81</v>
      </c>
      <c r="C68" s="95">
        <f>'Base Lease Info'!E83</f>
        <v>0.8</v>
      </c>
      <c r="D68" s="96"/>
      <c r="E68" s="96"/>
      <c r="F68" s="4"/>
      <c r="G68" s="37"/>
    </row>
    <row r="69" spans="2:9" x14ac:dyDescent="0.2">
      <c r="B69" s="27" t="s">
        <v>80</v>
      </c>
      <c r="C69" s="95">
        <f>'Base Lease Info'!E84</f>
        <v>0.5</v>
      </c>
      <c r="D69" s="95">
        <f>'Base Lease Info'!F84</f>
        <v>0.4</v>
      </c>
      <c r="E69" s="95">
        <f>'Base Lease Info'!G84</f>
        <v>9.9999999999999978E-2</v>
      </c>
      <c r="F69" s="3"/>
      <c r="G69" s="39"/>
    </row>
    <row r="70" spans="2:9" x14ac:dyDescent="0.2">
      <c r="B70" s="27" t="s">
        <v>82</v>
      </c>
      <c r="C70" s="93">
        <f>'Base Lease Info'!E85</f>
        <v>3.7</v>
      </c>
      <c r="D70" s="93">
        <f>'Base Lease Info'!F85</f>
        <v>8.4</v>
      </c>
      <c r="E70" s="93">
        <f>'Base Lease Info'!G85</f>
        <v>5.5</v>
      </c>
      <c r="F70" s="3"/>
      <c r="G70" s="39"/>
    </row>
    <row r="71" spans="2:9" x14ac:dyDescent="0.2">
      <c r="B71" s="27" t="s">
        <v>83</v>
      </c>
      <c r="C71" s="97">
        <f>'Base Lease Info'!E86</f>
        <v>155</v>
      </c>
      <c r="D71" s="97">
        <f>'Base Lease Info'!F86</f>
        <v>48</v>
      </c>
      <c r="E71" s="97">
        <f>'Base Lease Info'!G86</f>
        <v>60</v>
      </c>
      <c r="F71" s="28"/>
      <c r="G71" s="77"/>
    </row>
    <row r="72" spans="2:9" x14ac:dyDescent="0.2">
      <c r="B72" s="27" t="s">
        <v>84</v>
      </c>
      <c r="C72" s="94">
        <f>IF(C61&lt;C70,(C70-C61)*C71*0.85,0)</f>
        <v>0</v>
      </c>
      <c r="D72" s="94">
        <f t="shared" ref="D72:E72" si="11">IF(D61&lt;D70,(D70-D61)*D71*0.85,0)</f>
        <v>0</v>
      </c>
      <c r="E72" s="94">
        <f t="shared" si="11"/>
        <v>0</v>
      </c>
      <c r="F72" s="28"/>
      <c r="G72" s="77"/>
    </row>
    <row r="73" spans="2:9" x14ac:dyDescent="0.2">
      <c r="B73" s="27" t="s">
        <v>85</v>
      </c>
      <c r="C73" s="320">
        <f>(C72*C69+D72*D69+E72*E69)*C68</f>
        <v>0</v>
      </c>
      <c r="D73" s="321"/>
      <c r="E73" s="322"/>
      <c r="F73" s="3"/>
      <c r="G73" s="39"/>
    </row>
    <row r="74" spans="2:9" x14ac:dyDescent="0.2">
      <c r="B74" s="27"/>
      <c r="C74" s="29"/>
      <c r="D74" s="3"/>
      <c r="E74" s="3"/>
      <c r="F74" s="3"/>
      <c r="G74" s="39"/>
    </row>
    <row r="75" spans="2:9" x14ac:dyDescent="0.2">
      <c r="B75" s="17"/>
      <c r="C75" s="2"/>
      <c r="D75" s="2"/>
      <c r="E75" s="2"/>
      <c r="F75" s="2"/>
      <c r="G75" s="78"/>
    </row>
    <row r="76" spans="2:9" x14ac:dyDescent="0.2">
      <c r="B76" s="16" t="s">
        <v>1</v>
      </c>
      <c r="C76" s="2"/>
      <c r="D76" s="2"/>
      <c r="E76" s="2"/>
      <c r="F76" s="2"/>
      <c r="G76" s="78"/>
    </row>
    <row r="77" spans="2:9" x14ac:dyDescent="0.2">
      <c r="B77" s="17" t="s">
        <v>2</v>
      </c>
      <c r="C77" s="3">
        <f>'Base Lease Info'!F25</f>
        <v>275</v>
      </c>
      <c r="D77" s="3">
        <f>'Base Lease Info'!G25</f>
        <v>150</v>
      </c>
      <c r="E77" s="3">
        <f>'Base Lease Info'!H25</f>
        <v>140</v>
      </c>
      <c r="F77" s="3">
        <f>'Base Lease Info'!I25</f>
        <v>150</v>
      </c>
      <c r="G77" s="39">
        <f>E77+F77</f>
        <v>290</v>
      </c>
      <c r="I77" t="s">
        <v>45</v>
      </c>
    </row>
    <row r="78" spans="2:9" x14ac:dyDescent="0.2">
      <c r="B78" s="17" t="s">
        <v>6</v>
      </c>
      <c r="C78" s="3">
        <f>'Base Lease Info'!F26</f>
        <v>140</v>
      </c>
      <c r="D78" s="3">
        <f>'Base Lease Info'!G26</f>
        <v>90</v>
      </c>
      <c r="E78" s="3">
        <f>'Base Lease Info'!H26</f>
        <v>90</v>
      </c>
      <c r="F78" s="3">
        <f>'Base Lease Info'!I26</f>
        <v>85</v>
      </c>
      <c r="G78" s="39">
        <f t="shared" ref="G78:G79" si="12">E78+F78</f>
        <v>175</v>
      </c>
      <c r="I78" t="s">
        <v>46</v>
      </c>
    </row>
    <row r="79" spans="2:9" x14ac:dyDescent="0.2">
      <c r="B79" s="17" t="s">
        <v>3</v>
      </c>
      <c r="C79" s="3">
        <f>'Base Lease Info'!F27</f>
        <v>60</v>
      </c>
      <c r="D79" s="3">
        <f>'Base Lease Info'!G27</f>
        <v>40</v>
      </c>
      <c r="E79" s="3">
        <f>'Base Lease Info'!H27</f>
        <v>40</v>
      </c>
      <c r="F79" s="3">
        <f>'Base Lease Info'!I27</f>
        <v>40</v>
      </c>
      <c r="G79" s="39">
        <f t="shared" si="12"/>
        <v>80</v>
      </c>
      <c r="I79" t="s">
        <v>47</v>
      </c>
    </row>
    <row r="80" spans="2:9" x14ac:dyDescent="0.2">
      <c r="B80" s="18" t="s">
        <v>4</v>
      </c>
      <c r="C80" s="6">
        <f>$C55</f>
        <v>236.24999999999997</v>
      </c>
      <c r="D80" s="6">
        <f>D55</f>
        <v>189</v>
      </c>
      <c r="E80" s="6">
        <f>E55</f>
        <v>129.67499999999998</v>
      </c>
      <c r="F80" s="6">
        <f>F55</f>
        <v>128.625</v>
      </c>
      <c r="G80" s="38">
        <f>G55</f>
        <v>258.29999999999995</v>
      </c>
      <c r="I80" t="s">
        <v>60</v>
      </c>
    </row>
    <row r="81" spans="2:9" x14ac:dyDescent="0.2">
      <c r="B81" s="24" t="s">
        <v>44</v>
      </c>
      <c r="C81" s="14">
        <f>SUM(C77:C80)</f>
        <v>711.25</v>
      </c>
      <c r="D81" s="14">
        <f>SUM(D77:D80)</f>
        <v>469</v>
      </c>
      <c r="E81" s="14">
        <f t="shared" ref="E81" si="13">SUM(E77:E80)</f>
        <v>399.67499999999995</v>
      </c>
      <c r="F81" s="14">
        <f>SUM(F77:F80)</f>
        <v>403.625</v>
      </c>
      <c r="G81" s="39">
        <f>SUM(G77:G80)</f>
        <v>803.3</v>
      </c>
      <c r="I81" t="s">
        <v>61</v>
      </c>
    </row>
    <row r="82" spans="2:9" x14ac:dyDescent="0.2">
      <c r="B82" s="17"/>
      <c r="C82" s="2"/>
      <c r="D82" s="2"/>
      <c r="E82" s="2"/>
      <c r="F82" s="2"/>
      <c r="G82" s="78"/>
    </row>
    <row r="83" spans="2:9" x14ac:dyDescent="0.2">
      <c r="B83" s="17" t="s">
        <v>8</v>
      </c>
      <c r="C83" s="3">
        <f>C65</f>
        <v>675</v>
      </c>
      <c r="D83" s="3">
        <f t="shared" ref="D83:G83" si="14">D65</f>
        <v>472.5</v>
      </c>
      <c r="E83" s="3">
        <f t="shared" si="14"/>
        <v>370.49999999999994</v>
      </c>
      <c r="F83" s="3">
        <f t="shared" si="14"/>
        <v>367.5</v>
      </c>
      <c r="G83" s="39">
        <f t="shared" si="14"/>
        <v>737.99999999999989</v>
      </c>
      <c r="I83" s="25" t="s">
        <v>67</v>
      </c>
    </row>
    <row r="84" spans="2:9" x14ac:dyDescent="0.2">
      <c r="B84" s="17" t="s">
        <v>9</v>
      </c>
      <c r="C84" s="5">
        <f>SUM(C77:C80)</f>
        <v>711.25</v>
      </c>
      <c r="D84" s="5">
        <f t="shared" ref="D84:G84" si="15">SUM(D77:D80)</f>
        <v>469</v>
      </c>
      <c r="E84" s="5">
        <f t="shared" si="15"/>
        <v>399.67499999999995</v>
      </c>
      <c r="F84" s="5">
        <f t="shared" si="15"/>
        <v>403.625</v>
      </c>
      <c r="G84" s="85">
        <f t="shared" si="15"/>
        <v>803.3</v>
      </c>
    </row>
    <row r="85" spans="2:9" x14ac:dyDescent="0.2">
      <c r="B85" s="21" t="s">
        <v>7</v>
      </c>
      <c r="C85" s="10">
        <f>C83-C84</f>
        <v>-36.25</v>
      </c>
      <c r="D85" s="10">
        <f>D83-D84</f>
        <v>3.5</v>
      </c>
      <c r="E85" s="10">
        <f>E83-E84</f>
        <v>-29.175000000000011</v>
      </c>
      <c r="F85" s="10">
        <f t="shared" ref="F85:G85" si="16">F83-F84</f>
        <v>-36.125</v>
      </c>
      <c r="G85" s="36">
        <f t="shared" si="16"/>
        <v>-65.300000000000068</v>
      </c>
      <c r="I85" t="s">
        <v>50</v>
      </c>
    </row>
    <row r="86" spans="2:9" ht="13.5" thickBot="1" x14ac:dyDescent="0.25">
      <c r="B86" s="22" t="s">
        <v>25</v>
      </c>
      <c r="C86" s="328">
        <f>IF('Base Lease Info'!F12='Base Lease Info'!L76,C85*'Base Lease Info'!F8 + D85*'Base Lease Info'!G8 + E85*'Base Lease Info'!H8 + F85*'Base Lease Info'!H8,C85*'Base Lease Info'!F8 + D85*'Base Lease Info'!G8 + G85*'Base Lease Info'!J8)</f>
        <v>-33.575000000000017</v>
      </c>
      <c r="D86" s="329"/>
      <c r="E86" s="329"/>
      <c r="F86" s="329"/>
      <c r="G86" s="330"/>
      <c r="I86" t="s">
        <v>51</v>
      </c>
    </row>
    <row r="87" spans="2:9" ht="13.5" thickTop="1" x14ac:dyDescent="0.2"/>
    <row r="88" spans="2:9" x14ac:dyDescent="0.2">
      <c r="B88" s="1" t="s">
        <v>59</v>
      </c>
    </row>
    <row r="90" spans="2:9" ht="13.5" thickBot="1" x14ac:dyDescent="0.25">
      <c r="B90" s="11"/>
      <c r="C90" s="11"/>
      <c r="D90" s="11"/>
      <c r="E90" s="11"/>
      <c r="F90" s="11"/>
      <c r="G90" s="11"/>
    </row>
    <row r="91" spans="2:9" ht="17.25" thickTop="1" thickBot="1" x14ac:dyDescent="0.3">
      <c r="B91" s="334" t="s">
        <v>104</v>
      </c>
      <c r="C91" s="335"/>
      <c r="D91" s="335"/>
      <c r="E91" s="335"/>
      <c r="F91" s="335"/>
      <c r="G91" s="336"/>
      <c r="I91" s="7"/>
    </row>
    <row r="92" spans="2:9" ht="13.5" thickTop="1" x14ac:dyDescent="0.2">
      <c r="B92" s="68" t="s">
        <v>14</v>
      </c>
      <c r="C92" s="337"/>
      <c r="D92" s="337"/>
      <c r="E92" s="131"/>
      <c r="F92" s="131"/>
      <c r="G92" s="69"/>
      <c r="I92" s="7" t="s">
        <v>18</v>
      </c>
    </row>
    <row r="93" spans="2:9" x14ac:dyDescent="0.2">
      <c r="B93" s="17" t="s">
        <v>31</v>
      </c>
      <c r="C93" s="331">
        <f>'Base Lease Info'!F21</f>
        <v>150</v>
      </c>
      <c r="D93" s="332"/>
      <c r="E93" s="332"/>
      <c r="F93" s="332"/>
      <c r="G93" s="333"/>
      <c r="I93" s="7"/>
    </row>
    <row r="94" spans="2:9" x14ac:dyDescent="0.2">
      <c r="B94" s="17" t="s">
        <v>10</v>
      </c>
      <c r="C94" s="331">
        <f>'Base Lease Info'!F10</f>
        <v>125</v>
      </c>
      <c r="D94" s="332"/>
      <c r="E94" s="332"/>
      <c r="F94" s="332"/>
      <c r="G94" s="333"/>
      <c r="H94" s="15"/>
      <c r="I94" s="11"/>
    </row>
    <row r="95" spans="2:9" x14ac:dyDescent="0.2">
      <c r="B95" s="17" t="s">
        <v>32</v>
      </c>
      <c r="C95" s="331" t="str">
        <f>'Base Lease Info'!F11</f>
        <v>No</v>
      </c>
      <c r="D95" s="332"/>
      <c r="E95" s="332"/>
      <c r="F95" s="332"/>
      <c r="G95" s="333"/>
      <c r="H95" s="15"/>
      <c r="I95" s="11" t="s">
        <v>62</v>
      </c>
    </row>
    <row r="96" spans="2:9" x14ac:dyDescent="0.2">
      <c r="B96" s="17"/>
      <c r="C96" s="12" t="s">
        <v>22</v>
      </c>
      <c r="D96" s="12" t="s">
        <v>23</v>
      </c>
      <c r="E96" s="12" t="s">
        <v>73</v>
      </c>
      <c r="F96" s="12" t="s">
        <v>74</v>
      </c>
      <c r="G96" s="35" t="s">
        <v>76</v>
      </c>
      <c r="H96" s="15"/>
      <c r="I96" s="11"/>
    </row>
    <row r="97" spans="2:9" x14ac:dyDescent="0.2">
      <c r="B97" s="17" t="s">
        <v>28</v>
      </c>
      <c r="C97" s="13">
        <f>SUM('Base Lease Info'!F25:F27)+C94</f>
        <v>600</v>
      </c>
      <c r="D97" s="13">
        <f>SUM('Base Lease Info'!G25:G27)+D94</f>
        <v>280</v>
      </c>
      <c r="E97" s="13">
        <f>SUM('Base Lease Info'!H25:H27)+E94</f>
        <v>270</v>
      </c>
      <c r="F97" s="13">
        <f>SUM('Base Lease Info'!I25:I27)+F94</f>
        <v>275</v>
      </c>
      <c r="G97" s="70">
        <f>E97+F97</f>
        <v>545</v>
      </c>
      <c r="H97" s="15"/>
      <c r="I97" s="11" t="s">
        <v>54</v>
      </c>
    </row>
    <row r="98" spans="2:9" x14ac:dyDescent="0.2">
      <c r="B98" s="17" t="s">
        <v>11</v>
      </c>
      <c r="C98" s="30">
        <f>'Base Lease Info'!F16</f>
        <v>475</v>
      </c>
      <c r="D98" s="30">
        <f>'Base Lease Info'!G16</f>
        <v>325</v>
      </c>
      <c r="E98" s="30">
        <f>'Base Lease Info'!H16</f>
        <v>325</v>
      </c>
      <c r="F98" s="30">
        <f>'Base Lease Info'!I16</f>
        <v>250</v>
      </c>
      <c r="G98" s="70">
        <f>E98+F98</f>
        <v>575</v>
      </c>
      <c r="I98" s="11" t="s">
        <v>38</v>
      </c>
    </row>
    <row r="99" spans="2:9" x14ac:dyDescent="0.2">
      <c r="B99" s="18" t="s">
        <v>12</v>
      </c>
      <c r="C99" s="31">
        <f>'Base Lease Info'!F17</f>
        <v>0.35</v>
      </c>
      <c r="D99" s="31">
        <f>'Base Lease Info'!G17</f>
        <v>0.4</v>
      </c>
      <c r="E99" s="31">
        <f>'Base Lease Info'!H17</f>
        <v>0.35</v>
      </c>
      <c r="F99" s="31">
        <f>'Base Lease Info'!I17</f>
        <v>0.35</v>
      </c>
      <c r="G99" s="90">
        <f>E99*(E106/G106) + F99*(F106/G106)</f>
        <v>0.35</v>
      </c>
      <c r="H99" s="15"/>
      <c r="I99" s="11" t="s">
        <v>39</v>
      </c>
    </row>
    <row r="100" spans="2:9" x14ac:dyDescent="0.2">
      <c r="B100" s="18" t="s">
        <v>55</v>
      </c>
      <c r="C100" s="10">
        <f>IF($C95='Base Lease Info'!$J$75,(C108+C109-C98)*C99,IF((C108 + C109) &gt; C98,(C108+C109-C98)*C99,0))</f>
        <v>89.6875</v>
      </c>
      <c r="D100" s="10">
        <f>IF($C95='Base Lease Info'!$J$75,(D108+D109-D98)*D99,IF((D108 + D109) &gt; D98,(D108+D109-D98)*D99,0))</f>
        <v>74.75</v>
      </c>
      <c r="E100" s="10">
        <f>IF($C95='Base Lease Info'!$J$75,(E108+E109-E98)*E99,IF((E108 + E109) &gt; E98,(E108+E109-E98)*E99,0))</f>
        <v>26.731249999999999</v>
      </c>
      <c r="F100" s="10">
        <f>IF($C95='Base Lease Info'!$J$75,(F108+F109-F98)*F99,IF((F108 + F109) &gt; F98,(F108+F109-F98)*F99,0))</f>
        <v>51.84375</v>
      </c>
      <c r="G100" s="36">
        <f>IF($C95='Base Lease Info'!$J$75,(G108+G109-G98)*G99,IF((G108 + G109) &gt; G98,(G108+G109-G98)*G99,0))</f>
        <v>78.574999999999989</v>
      </c>
      <c r="H100" s="15"/>
      <c r="I100" s="11" t="s">
        <v>57</v>
      </c>
    </row>
    <row r="101" spans="2:9" ht="15.75" x14ac:dyDescent="0.25">
      <c r="B101" s="19" t="s">
        <v>56</v>
      </c>
      <c r="C101" s="9">
        <f>IF($C95='Base Lease Info'!$J$75,$C94+(C108+C109-C98)*C99,IF((C108 + C109) &gt; C98,$C94+(C108+C109-C98)*C99,$C94))</f>
        <v>214.6875</v>
      </c>
      <c r="D101" s="9">
        <f>IF($C95='Base Lease Info'!$J$75,$C94+(D108+D109-D98)*D99,IF((D108 + D109) &gt; D98,$C94+(D108+D109-D98)*D99,$C94))</f>
        <v>199.75</v>
      </c>
      <c r="E101" s="9">
        <f>IF($C95='Base Lease Info'!$J$75,$C94/2+(E108+E109-E98)*E99,IF((E108 + E109) &gt; E98,$C94/2+(E108+E109-E98)*E99,$C94/2))</f>
        <v>89.231250000000003</v>
      </c>
      <c r="F101" s="9">
        <f>IF($C95='Base Lease Info'!$J$75,$C94/2+(F108+F109-F98)*F99,IF((F108 + F109) &gt; F98,$C94/2+(F108+F109-F98)*F99,$C94/2))</f>
        <v>114.34375</v>
      </c>
      <c r="G101" s="72">
        <f>IF($C95='Base Lease Info'!$J$75,$C94+(G108+G109-G98)*G99,IF((G108 + G109) &gt; G98,$C94+(G108+G109-G98)*G99,$C94))</f>
        <v>203.57499999999999</v>
      </c>
      <c r="I101" t="s">
        <v>40</v>
      </c>
    </row>
    <row r="102" spans="2:9" ht="15.75" x14ac:dyDescent="0.25">
      <c r="B102" s="19" t="s">
        <v>58</v>
      </c>
      <c r="C102" s="323">
        <f>IF('Base Lease Info'!F12='Base Lease Info'!L75,C101*'Base Lease Info'!F8 + D101*'Base Lease Info'!G8 + G101*'Base Lease Info'!J8, C101*'Base Lease Info'!F8 + D101*'Base Lease Info'!G8 + E101*'Base Lease Info'!H8 + F101*'Base Lease Info'!H8)</f>
        <v>208.17500000000001</v>
      </c>
      <c r="D102" s="323"/>
      <c r="E102" s="323"/>
      <c r="F102" s="323"/>
      <c r="G102" s="324"/>
      <c r="I102" t="s">
        <v>48</v>
      </c>
    </row>
    <row r="103" spans="2:9" x14ac:dyDescent="0.2">
      <c r="B103" s="17" t="s">
        <v>19</v>
      </c>
      <c r="C103" s="325">
        <f>C102/$C93-1</f>
        <v>0.38783333333333347</v>
      </c>
      <c r="D103" s="326"/>
      <c r="E103" s="326"/>
      <c r="F103" s="326"/>
      <c r="G103" s="327"/>
      <c r="I103" t="s">
        <v>49</v>
      </c>
    </row>
    <row r="104" spans="2:9" x14ac:dyDescent="0.2">
      <c r="B104" s="17"/>
      <c r="C104" s="8"/>
      <c r="D104" s="8"/>
      <c r="E104" s="8"/>
      <c r="F104" s="8"/>
      <c r="G104" s="73"/>
    </row>
    <row r="105" spans="2:9" x14ac:dyDescent="0.2">
      <c r="B105" s="20" t="s">
        <v>20</v>
      </c>
      <c r="C105" s="12" t="s">
        <v>22</v>
      </c>
      <c r="D105" s="12" t="s">
        <v>23</v>
      </c>
      <c r="E105" s="12" t="s">
        <v>73</v>
      </c>
      <c r="F105" s="12" t="s">
        <v>74</v>
      </c>
      <c r="G105" s="35" t="s">
        <v>76</v>
      </c>
    </row>
    <row r="106" spans="2:9" x14ac:dyDescent="0.2">
      <c r="B106" s="17" t="s">
        <v>0</v>
      </c>
      <c r="C106" s="92">
        <f>'Base Lease Info'!B61</f>
        <v>195</v>
      </c>
      <c r="D106" s="92">
        <f>'Base Lease Info'!C61</f>
        <v>58.5</v>
      </c>
      <c r="E106" s="92">
        <f>'Base Lease Info'!E61</f>
        <v>84.5</v>
      </c>
      <c r="F106" s="92">
        <f>'Base Lease Info'!D61</f>
        <v>45.5</v>
      </c>
      <c r="G106" s="108">
        <f>E106+F106</f>
        <v>130</v>
      </c>
      <c r="I106" t="s">
        <v>26</v>
      </c>
    </row>
    <row r="107" spans="2:9" x14ac:dyDescent="0.2">
      <c r="B107" s="17" t="s">
        <v>21</v>
      </c>
      <c r="C107" s="26">
        <f>'Base Lease Info'!F5</f>
        <v>3.75</v>
      </c>
      <c r="D107" s="26">
        <f>'Base Lease Info'!G5</f>
        <v>8.75</v>
      </c>
      <c r="E107" s="26">
        <f>'Base Lease Info'!H5</f>
        <v>4.75</v>
      </c>
      <c r="F107" s="26">
        <f>'Base Lease Info'!I5</f>
        <v>8.75</v>
      </c>
      <c r="G107" s="81">
        <f>E107*(E106/G106) + F107*(F106/G106)</f>
        <v>6.15</v>
      </c>
      <c r="I107" t="s">
        <v>27</v>
      </c>
    </row>
    <row r="108" spans="2:9" x14ac:dyDescent="0.2">
      <c r="B108" s="17" t="s">
        <v>5</v>
      </c>
      <c r="C108" s="3">
        <f>C106*C107</f>
        <v>731.25</v>
      </c>
      <c r="D108" s="3">
        <f>D106*D107</f>
        <v>511.875</v>
      </c>
      <c r="E108" s="3">
        <f t="shared" ref="E108:F108" si="17">E106*E107</f>
        <v>401.375</v>
      </c>
      <c r="F108" s="3">
        <f t="shared" si="17"/>
        <v>398.125</v>
      </c>
      <c r="G108" s="46">
        <f>G106*G107</f>
        <v>799.5</v>
      </c>
      <c r="I108" t="s">
        <v>41</v>
      </c>
    </row>
    <row r="109" spans="2:9" x14ac:dyDescent="0.2">
      <c r="B109" s="17" t="s">
        <v>13</v>
      </c>
      <c r="C109" s="3">
        <f>IF('Base Lease Info'!$F6='Base Lease Info'!$J$75,$C119,0)</f>
        <v>0</v>
      </c>
      <c r="D109" s="3">
        <f>IF('Base Lease Info'!$F6='Base Lease Info'!$J$75,$C119,0)</f>
        <v>0</v>
      </c>
      <c r="E109" s="3">
        <f>IF('Base Lease Info'!$F6='Base Lease Info'!$J$75,$C119,0)</f>
        <v>0</v>
      </c>
      <c r="F109" s="3">
        <f>IF('Base Lease Info'!$F6='Base Lease Info'!$J$75,$C119,0)</f>
        <v>0</v>
      </c>
      <c r="G109" s="39">
        <f>IF('Base Lease Info'!$F6='Base Lease Info'!$J$75,$C119,0)</f>
        <v>0</v>
      </c>
      <c r="I109" s="25" t="s">
        <v>63</v>
      </c>
    </row>
    <row r="110" spans="2:9" x14ac:dyDescent="0.2">
      <c r="B110" s="27" t="s">
        <v>107</v>
      </c>
      <c r="C110" s="6">
        <f>'Base Lease Info'!E80</f>
        <v>0</v>
      </c>
      <c r="D110" s="6">
        <f>'Base Lease Info'!F80</f>
        <v>0</v>
      </c>
      <c r="E110" s="6">
        <f>'Base Lease Info'!G80</f>
        <v>0</v>
      </c>
      <c r="F110" s="6">
        <f>'Base Lease Info'!H80</f>
        <v>0</v>
      </c>
      <c r="G110" s="38">
        <f>'Base Lease Info'!I80</f>
        <v>0</v>
      </c>
      <c r="I110" s="25"/>
    </row>
    <row r="111" spans="2:9" x14ac:dyDescent="0.2">
      <c r="B111" s="24" t="s">
        <v>43</v>
      </c>
      <c r="C111" s="14">
        <f>SUM(C108:C110)</f>
        <v>731.25</v>
      </c>
      <c r="D111" s="14">
        <f t="shared" ref="D111:G111" si="18">SUM(D108:D110)</f>
        <v>511.875</v>
      </c>
      <c r="E111" s="14">
        <f t="shared" si="18"/>
        <v>401.375</v>
      </c>
      <c r="F111" s="14">
        <f t="shared" si="18"/>
        <v>398.125</v>
      </c>
      <c r="G111" s="76">
        <f t="shared" si="18"/>
        <v>799.5</v>
      </c>
      <c r="I111" t="s">
        <v>42</v>
      </c>
    </row>
    <row r="112" spans="2:9" x14ac:dyDescent="0.2">
      <c r="B112" s="24"/>
      <c r="C112" s="14"/>
      <c r="D112" s="14"/>
      <c r="E112" s="14"/>
      <c r="F112" s="14"/>
      <c r="G112" s="76"/>
    </row>
    <row r="113" spans="2:9" x14ac:dyDescent="0.2">
      <c r="B113" s="40" t="s">
        <v>79</v>
      </c>
      <c r="C113" s="14"/>
      <c r="D113" s="14"/>
      <c r="E113" s="14"/>
      <c r="F113" s="14"/>
      <c r="G113" s="76"/>
    </row>
    <row r="114" spans="2:9" x14ac:dyDescent="0.2">
      <c r="B114" s="27" t="s">
        <v>81</v>
      </c>
      <c r="C114" s="95">
        <f>'Base Lease Info'!E83</f>
        <v>0.8</v>
      </c>
      <c r="D114" s="96"/>
      <c r="E114" s="96"/>
      <c r="F114" s="4"/>
      <c r="G114" s="37"/>
    </row>
    <row r="115" spans="2:9" x14ac:dyDescent="0.2">
      <c r="B115" s="27" t="s">
        <v>80</v>
      </c>
      <c r="C115" s="95">
        <f>'Base Lease Info'!E84</f>
        <v>0.5</v>
      </c>
      <c r="D115" s="95">
        <f>'Base Lease Info'!F84</f>
        <v>0.4</v>
      </c>
      <c r="E115" s="95">
        <f>'Base Lease Info'!G84</f>
        <v>9.9999999999999978E-2</v>
      </c>
      <c r="F115" s="3"/>
      <c r="G115" s="39"/>
    </row>
    <row r="116" spans="2:9" x14ac:dyDescent="0.2">
      <c r="B116" s="80" t="s">
        <v>82</v>
      </c>
      <c r="C116" s="93">
        <f>'Base Lease Info'!E85</f>
        <v>3.7</v>
      </c>
      <c r="D116" s="93">
        <f>'Base Lease Info'!F85</f>
        <v>8.4</v>
      </c>
      <c r="E116" s="93">
        <f>'Base Lease Info'!G85</f>
        <v>5.5</v>
      </c>
      <c r="F116" s="3"/>
      <c r="G116" s="39"/>
      <c r="I116" s="25" t="s">
        <v>106</v>
      </c>
    </row>
    <row r="117" spans="2:9" x14ac:dyDescent="0.2">
      <c r="B117" s="27" t="s">
        <v>83</v>
      </c>
      <c r="C117" s="97">
        <f>'Base Lease Info'!E86</f>
        <v>155</v>
      </c>
      <c r="D117" s="97">
        <f>'Base Lease Info'!F86</f>
        <v>48</v>
      </c>
      <c r="E117" s="97">
        <f>'Base Lease Info'!G86</f>
        <v>60</v>
      </c>
      <c r="F117" s="28"/>
      <c r="G117" s="77"/>
    </row>
    <row r="118" spans="2:9" x14ac:dyDescent="0.2">
      <c r="B118" s="27" t="s">
        <v>84</v>
      </c>
      <c r="C118" s="3">
        <f>IF(C107&lt;C116,(C116-C107)*C117*0.85,0)</f>
        <v>0</v>
      </c>
      <c r="D118" s="3">
        <f>IF(D107&lt;D116,(D116-D107)*D117*0.85,0)</f>
        <v>0</v>
      </c>
      <c r="E118" s="3">
        <f>IF(E107&lt;E116,(E116-E107)*E117*0.85,0)</f>
        <v>38.25</v>
      </c>
      <c r="F118" s="28"/>
      <c r="G118" s="77"/>
    </row>
    <row r="119" spans="2:9" x14ac:dyDescent="0.2">
      <c r="B119" s="27" t="s">
        <v>85</v>
      </c>
      <c r="C119" s="320">
        <f>(C118*C115+D118*D115+E118*E115)*C114</f>
        <v>3.0599999999999996</v>
      </c>
      <c r="D119" s="321"/>
      <c r="E119" s="322"/>
      <c r="F119" s="3"/>
      <c r="G119" s="39"/>
    </row>
    <row r="120" spans="2:9" x14ac:dyDescent="0.2">
      <c r="B120" s="27"/>
      <c r="C120" s="29"/>
      <c r="D120" s="3"/>
      <c r="E120" s="3"/>
      <c r="F120" s="3"/>
      <c r="G120" s="39"/>
    </row>
    <row r="121" spans="2:9" x14ac:dyDescent="0.2">
      <c r="B121" s="17"/>
      <c r="C121" s="2"/>
      <c r="D121" s="2"/>
      <c r="E121" s="2"/>
      <c r="F121" s="2"/>
      <c r="G121" s="78"/>
    </row>
    <row r="122" spans="2:9" x14ac:dyDescent="0.2">
      <c r="B122" s="16" t="s">
        <v>1</v>
      </c>
      <c r="C122" s="2"/>
      <c r="D122" s="2"/>
      <c r="E122" s="2"/>
      <c r="F122" s="2"/>
      <c r="G122" s="78"/>
    </row>
    <row r="123" spans="2:9" x14ac:dyDescent="0.2">
      <c r="B123" s="17" t="s">
        <v>2</v>
      </c>
      <c r="C123" s="3">
        <f>'Base Lease Info'!F25</f>
        <v>275</v>
      </c>
      <c r="D123" s="3">
        <f>'Base Lease Info'!G25</f>
        <v>150</v>
      </c>
      <c r="E123" s="3">
        <f>'Base Lease Info'!H25</f>
        <v>140</v>
      </c>
      <c r="F123" s="3">
        <f>'Base Lease Info'!I25</f>
        <v>150</v>
      </c>
      <c r="G123" s="39">
        <f>E123+F123</f>
        <v>290</v>
      </c>
      <c r="I123" t="s">
        <v>45</v>
      </c>
    </row>
    <row r="124" spans="2:9" x14ac:dyDescent="0.2">
      <c r="B124" s="17" t="s">
        <v>6</v>
      </c>
      <c r="C124" s="3">
        <f>'Base Lease Info'!F26</f>
        <v>140</v>
      </c>
      <c r="D124" s="3">
        <f>'Base Lease Info'!G26</f>
        <v>90</v>
      </c>
      <c r="E124" s="3">
        <f>'Base Lease Info'!H26</f>
        <v>90</v>
      </c>
      <c r="F124" s="3">
        <f>'Base Lease Info'!I26</f>
        <v>85</v>
      </c>
      <c r="G124" s="39">
        <f t="shared" ref="G124:G125" si="19">E124+F124</f>
        <v>175</v>
      </c>
      <c r="I124" t="s">
        <v>46</v>
      </c>
    </row>
    <row r="125" spans="2:9" x14ac:dyDescent="0.2">
      <c r="B125" s="17" t="s">
        <v>3</v>
      </c>
      <c r="C125" s="3">
        <f>'Base Lease Info'!F27</f>
        <v>60</v>
      </c>
      <c r="D125" s="3">
        <f>'Base Lease Info'!G27</f>
        <v>40</v>
      </c>
      <c r="E125" s="3">
        <f>'Base Lease Info'!H27</f>
        <v>40</v>
      </c>
      <c r="F125" s="3">
        <f>'Base Lease Info'!I27</f>
        <v>40</v>
      </c>
      <c r="G125" s="39">
        <f t="shared" si="19"/>
        <v>80</v>
      </c>
      <c r="I125" t="s">
        <v>47</v>
      </c>
    </row>
    <row r="126" spans="2:9" x14ac:dyDescent="0.2">
      <c r="B126" s="17" t="s">
        <v>4</v>
      </c>
      <c r="C126" s="6">
        <f>$C101</f>
        <v>214.6875</v>
      </c>
      <c r="D126" s="6">
        <f>D101</f>
        <v>199.75</v>
      </c>
      <c r="E126" s="6">
        <f t="shared" ref="E126:F126" si="20">E101</f>
        <v>89.231250000000003</v>
      </c>
      <c r="F126" s="6">
        <f t="shared" si="20"/>
        <v>114.34375</v>
      </c>
      <c r="G126" s="38">
        <f>G101</f>
        <v>203.57499999999999</v>
      </c>
      <c r="I126" t="s">
        <v>60</v>
      </c>
    </row>
    <row r="127" spans="2:9" x14ac:dyDescent="0.2">
      <c r="B127" s="24" t="s">
        <v>44</v>
      </c>
      <c r="C127" s="14">
        <f>SUM(C123:C126)</f>
        <v>689.6875</v>
      </c>
      <c r="D127" s="14">
        <f>SUM(D123:D126)</f>
        <v>479.75</v>
      </c>
      <c r="E127" s="14">
        <f t="shared" ref="E127" si="21">SUM(E123:E126)</f>
        <v>359.23124999999999</v>
      </c>
      <c r="F127" s="14">
        <f>SUM(F123:F126)</f>
        <v>389.34375</v>
      </c>
      <c r="G127" s="39">
        <f>SUM(G123:G126)</f>
        <v>748.57500000000005</v>
      </c>
      <c r="I127" t="s">
        <v>61</v>
      </c>
    </row>
    <row r="128" spans="2:9" x14ac:dyDescent="0.2">
      <c r="B128" s="17"/>
      <c r="C128" s="2"/>
      <c r="D128" s="2"/>
      <c r="E128" s="2"/>
      <c r="F128" s="2"/>
      <c r="G128" s="78"/>
    </row>
    <row r="129" spans="2:9" x14ac:dyDescent="0.2">
      <c r="B129" s="18" t="s">
        <v>8</v>
      </c>
      <c r="C129" s="3">
        <f>C111</f>
        <v>731.25</v>
      </c>
      <c r="D129" s="3">
        <f t="shared" ref="D129:G129" si="22">D111</f>
        <v>511.875</v>
      </c>
      <c r="E129" s="3">
        <f t="shared" si="22"/>
        <v>401.375</v>
      </c>
      <c r="F129" s="3">
        <f t="shared" si="22"/>
        <v>398.125</v>
      </c>
      <c r="G129" s="39">
        <f t="shared" si="22"/>
        <v>799.5</v>
      </c>
      <c r="I129" s="25" t="s">
        <v>67</v>
      </c>
    </row>
    <row r="130" spans="2:9" x14ac:dyDescent="0.2">
      <c r="B130" s="17" t="s">
        <v>9</v>
      </c>
      <c r="C130" s="5">
        <f>SUM(C123:C126)</f>
        <v>689.6875</v>
      </c>
      <c r="D130" s="5">
        <f>SUM(D123:D126)</f>
        <v>479.75</v>
      </c>
      <c r="E130" s="5">
        <f t="shared" ref="E130" si="23">SUM(E123:E126)</f>
        <v>359.23124999999999</v>
      </c>
      <c r="F130" s="5">
        <f>SUM(F123:F126)</f>
        <v>389.34375</v>
      </c>
      <c r="G130" s="39">
        <f>SUM(G123:G126)</f>
        <v>748.57500000000005</v>
      </c>
    </row>
    <row r="131" spans="2:9" x14ac:dyDescent="0.2">
      <c r="B131" s="21" t="s">
        <v>7</v>
      </c>
      <c r="C131" s="10">
        <f>C129-C130</f>
        <v>41.5625</v>
      </c>
      <c r="D131" s="10">
        <f>D129-D130</f>
        <v>32.125</v>
      </c>
      <c r="E131" s="10">
        <f>E129-E130</f>
        <v>42.143750000000011</v>
      </c>
      <c r="F131" s="10">
        <f t="shared" ref="F131:G131" si="24">F129-F130</f>
        <v>8.78125</v>
      </c>
      <c r="G131" s="36">
        <f t="shared" si="24"/>
        <v>50.924999999999955</v>
      </c>
      <c r="I131" t="s">
        <v>50</v>
      </c>
    </row>
    <row r="132" spans="2:9" ht="13.5" thickBot="1" x14ac:dyDescent="0.25">
      <c r="B132" s="91" t="s">
        <v>25</v>
      </c>
      <c r="C132" s="328">
        <f>IF('Base Lease Info'!F12='Base Lease Info'!L76,C131*'Base Lease Info'!F8 + D131*'Base Lease Info'!G8 + E131*'Base Lease Info'!H8 + F131*'Base Lease Info'!H8,C131*'Base Lease Info'!F8 + D131*'Base Lease Info'!G8 + G131*'Base Lease Info'!J8)</f>
        <v>41.543749999999989</v>
      </c>
      <c r="D132" s="329"/>
      <c r="E132" s="329"/>
      <c r="F132" s="329"/>
      <c r="G132" s="330"/>
      <c r="I132" t="s">
        <v>51</v>
      </c>
    </row>
    <row r="133" spans="2:9" ht="13.5" thickTop="1" x14ac:dyDescent="0.2"/>
    <row r="134" spans="2:9" x14ac:dyDescent="0.2">
      <c r="B134" s="1" t="s">
        <v>59</v>
      </c>
    </row>
    <row r="136" spans="2:9" ht="13.5" thickBot="1" x14ac:dyDescent="0.25"/>
    <row r="137" spans="2:9" ht="17.25" thickTop="1" thickBot="1" x14ac:dyDescent="0.3">
      <c r="B137" s="334" t="s">
        <v>105</v>
      </c>
      <c r="C137" s="335"/>
      <c r="D137" s="335"/>
      <c r="E137" s="335"/>
      <c r="F137" s="335"/>
      <c r="G137" s="336"/>
      <c r="I137" s="7"/>
    </row>
    <row r="138" spans="2:9" ht="13.5" thickTop="1" x14ac:dyDescent="0.2">
      <c r="B138" s="68" t="s">
        <v>14</v>
      </c>
      <c r="C138" s="337"/>
      <c r="D138" s="337"/>
      <c r="E138" s="131"/>
      <c r="F138" s="131"/>
      <c r="G138" s="69"/>
      <c r="I138" s="7" t="s">
        <v>18</v>
      </c>
    </row>
    <row r="139" spans="2:9" x14ac:dyDescent="0.2">
      <c r="B139" s="17" t="s">
        <v>31</v>
      </c>
      <c r="C139" s="331">
        <f>'Base Lease Info'!F21</f>
        <v>150</v>
      </c>
      <c r="D139" s="332"/>
      <c r="E139" s="332"/>
      <c r="F139" s="332"/>
      <c r="G139" s="333"/>
      <c r="I139" s="7"/>
    </row>
    <row r="140" spans="2:9" x14ac:dyDescent="0.2">
      <c r="B140" s="17" t="s">
        <v>10</v>
      </c>
      <c r="C140" s="331">
        <f>'Base Lease Info'!F10</f>
        <v>125</v>
      </c>
      <c r="D140" s="332"/>
      <c r="E140" s="332"/>
      <c r="F140" s="332"/>
      <c r="G140" s="333"/>
      <c r="H140" s="15"/>
      <c r="I140" s="11"/>
    </row>
    <row r="141" spans="2:9" x14ac:dyDescent="0.2">
      <c r="B141" s="17" t="s">
        <v>32</v>
      </c>
      <c r="C141" s="331" t="str">
        <f>'Base Lease Info'!F11</f>
        <v>No</v>
      </c>
      <c r="D141" s="332"/>
      <c r="E141" s="332"/>
      <c r="F141" s="332"/>
      <c r="G141" s="333"/>
      <c r="H141" s="15"/>
      <c r="I141" s="11" t="s">
        <v>62</v>
      </c>
    </row>
    <row r="142" spans="2:9" x14ac:dyDescent="0.2">
      <c r="B142" s="27"/>
      <c r="C142" s="12" t="s">
        <v>22</v>
      </c>
      <c r="D142" s="12" t="s">
        <v>23</v>
      </c>
      <c r="E142" s="12" t="s">
        <v>73</v>
      </c>
      <c r="F142" s="12" t="s">
        <v>74</v>
      </c>
      <c r="G142" s="35" t="s">
        <v>76</v>
      </c>
      <c r="H142" s="15"/>
      <c r="I142" s="11"/>
    </row>
    <row r="143" spans="2:9" x14ac:dyDescent="0.2">
      <c r="B143" s="80" t="s">
        <v>12</v>
      </c>
      <c r="C143" s="31">
        <f>'Base Lease Info'!F17</f>
        <v>0.35</v>
      </c>
      <c r="D143" s="31">
        <f>'Base Lease Info'!G17</f>
        <v>0.4</v>
      </c>
      <c r="E143" s="31">
        <f>'Base Lease Info'!H17</f>
        <v>0.35</v>
      </c>
      <c r="F143" s="31">
        <f>'Base Lease Info'!I17</f>
        <v>0.35</v>
      </c>
      <c r="G143" s="71">
        <f>E143*(E149/G149) + F143*(F149/G149)</f>
        <v>0.35</v>
      </c>
      <c r="H143" s="15"/>
      <c r="I143" s="11" t="s">
        <v>39</v>
      </c>
    </row>
    <row r="144" spans="2:9" ht="15.75" x14ac:dyDescent="0.25">
      <c r="B144" s="19" t="s">
        <v>91</v>
      </c>
      <c r="C144" s="9">
        <f>IF($C$141='Base Lease Info'!$J$75,C172*C143,IF(C172*C143&gt;$C$140,C172*C143,$C$140))</f>
        <v>255.93749999999997</v>
      </c>
      <c r="D144" s="9">
        <f>IF($C$141='Base Lease Info'!$J$75,D172*D143,IF(D172*D143&gt;$C$140,D172*D143,$C$140))</f>
        <v>204.75</v>
      </c>
      <c r="E144" s="9">
        <f>IF($C$141='Base Lease Info'!$J$75,E172*E143,IF(E172*E143&gt;$C$140/2,E172*E143,$C$140/2))</f>
        <v>140.48124999999999</v>
      </c>
      <c r="F144" s="9">
        <f>IF($C$141='Base Lease Info'!$J$75,F172*F143,IF(F172*F143&gt;$C$140/2,F172*F143,$C$140/2))</f>
        <v>139.34375</v>
      </c>
      <c r="G144" s="72">
        <f>IF($C$141='Base Lease Info'!$J$75,G172*G143,IF(G172*G143&gt;$C$140,G172*G143,$C$140))</f>
        <v>279.82499999999999</v>
      </c>
      <c r="I144" t="s">
        <v>40</v>
      </c>
    </row>
    <row r="145" spans="2:9" ht="15.75" x14ac:dyDescent="0.25">
      <c r="B145" s="19" t="s">
        <v>58</v>
      </c>
      <c r="C145" s="323">
        <f>IF('Base Lease Info'!F12='Base Lease Info'!L75,C144*'Base Lease Info'!F8 + D144*'Base Lease Info'!G8 + G144*'Base Lease Info'!J8, C144*'Base Lease Info'!F8 + D144*'Base Lease Info'!G8 + E144*'Base Lease Info'!H8 + F144*'Base Lease Info'!H8)</f>
        <v>249.11250000000001</v>
      </c>
      <c r="D145" s="323"/>
      <c r="E145" s="323"/>
      <c r="F145" s="323"/>
      <c r="G145" s="324"/>
      <c r="I145" t="s">
        <v>48</v>
      </c>
    </row>
    <row r="146" spans="2:9" x14ac:dyDescent="0.2">
      <c r="B146" s="17" t="s">
        <v>19</v>
      </c>
      <c r="C146" s="325">
        <f>C145/$C139-1</f>
        <v>0.66075000000000017</v>
      </c>
      <c r="D146" s="326"/>
      <c r="E146" s="326"/>
      <c r="F146" s="326"/>
      <c r="G146" s="327"/>
      <c r="I146" t="s">
        <v>49</v>
      </c>
    </row>
    <row r="147" spans="2:9" x14ac:dyDescent="0.2">
      <c r="B147" s="17"/>
      <c r="C147" s="8"/>
      <c r="D147" s="8"/>
      <c r="E147" s="8"/>
      <c r="F147" s="8"/>
      <c r="G147" s="73"/>
    </row>
    <row r="148" spans="2:9" x14ac:dyDescent="0.2">
      <c r="B148" s="20" t="s">
        <v>20</v>
      </c>
      <c r="C148" s="12" t="s">
        <v>22</v>
      </c>
      <c r="D148" s="12" t="s">
        <v>23</v>
      </c>
      <c r="E148" s="12" t="s">
        <v>73</v>
      </c>
      <c r="F148" s="12" t="s">
        <v>74</v>
      </c>
      <c r="G148" s="35" t="s">
        <v>76</v>
      </c>
    </row>
    <row r="149" spans="2:9" x14ac:dyDescent="0.2">
      <c r="B149" s="17" t="s">
        <v>0</v>
      </c>
      <c r="C149" s="92">
        <f>'Base Lease Info'!B61</f>
        <v>195</v>
      </c>
      <c r="D149" s="92">
        <f>'Base Lease Info'!C61</f>
        <v>58.5</v>
      </c>
      <c r="E149" s="92">
        <f>'Base Lease Info'!E61</f>
        <v>84.5</v>
      </c>
      <c r="F149" s="92">
        <f>'Base Lease Info'!D61</f>
        <v>45.5</v>
      </c>
      <c r="G149" s="74">
        <f>E149+F149</f>
        <v>130</v>
      </c>
      <c r="I149" t="s">
        <v>26</v>
      </c>
    </row>
    <row r="150" spans="2:9" x14ac:dyDescent="0.2">
      <c r="B150" s="17" t="s">
        <v>21</v>
      </c>
      <c r="C150" s="26">
        <f>'Base Lease Info'!F5</f>
        <v>3.75</v>
      </c>
      <c r="D150" s="26">
        <f>'Base Lease Info'!G5</f>
        <v>8.75</v>
      </c>
      <c r="E150" s="26">
        <f>'Base Lease Info'!H5</f>
        <v>4.75</v>
      </c>
      <c r="F150" s="26">
        <f>'Base Lease Info'!I5</f>
        <v>8.75</v>
      </c>
      <c r="G150" s="75">
        <f>E150*(E149/G149) + F150*(F149/G149)</f>
        <v>6.15</v>
      </c>
      <c r="I150" t="s">
        <v>27</v>
      </c>
    </row>
    <row r="151" spans="2:9" x14ac:dyDescent="0.2">
      <c r="B151" s="17" t="s">
        <v>5</v>
      </c>
      <c r="C151" s="3">
        <f>C149*C150</f>
        <v>731.25</v>
      </c>
      <c r="D151" s="3">
        <f>D149*D150</f>
        <v>511.875</v>
      </c>
      <c r="E151" s="3">
        <f t="shared" ref="E151:F151" si="25">E149*E150</f>
        <v>401.375</v>
      </c>
      <c r="F151" s="3">
        <f t="shared" si="25"/>
        <v>398.125</v>
      </c>
      <c r="G151" s="46">
        <f>G149*G150</f>
        <v>799.5</v>
      </c>
      <c r="I151" t="s">
        <v>41</v>
      </c>
    </row>
    <row r="152" spans="2:9" x14ac:dyDescent="0.2">
      <c r="B152" s="17" t="s">
        <v>13</v>
      </c>
      <c r="C152" s="3">
        <f>IF('Base Lease Info'!$F6='Base Lease Info'!$J$75,$C162,0)</f>
        <v>0</v>
      </c>
      <c r="D152" s="3">
        <f>IF('Base Lease Info'!$F6='Base Lease Info'!$J$75,$C162,0)</f>
        <v>0</v>
      </c>
      <c r="E152" s="3">
        <f>IF('Base Lease Info'!$F6='Base Lease Info'!$J$75,$C162,0)</f>
        <v>0</v>
      </c>
      <c r="F152" s="3">
        <f>IF('Base Lease Info'!$F6='Base Lease Info'!$J$75,$C162,0)</f>
        <v>0</v>
      </c>
      <c r="G152" s="39">
        <f>IF('Base Lease Info'!$F6='Base Lease Info'!$J$75,$C162,0)</f>
        <v>0</v>
      </c>
      <c r="I152" s="25" t="s">
        <v>63</v>
      </c>
    </row>
    <row r="153" spans="2:9" x14ac:dyDescent="0.2">
      <c r="B153" s="27" t="s">
        <v>107</v>
      </c>
      <c r="C153" s="6">
        <f>'Base Lease Info'!E80</f>
        <v>0</v>
      </c>
      <c r="D153" s="6">
        <f>'Base Lease Info'!F80</f>
        <v>0</v>
      </c>
      <c r="E153" s="6">
        <f>'Base Lease Info'!G80</f>
        <v>0</v>
      </c>
      <c r="F153" s="6">
        <f>'Base Lease Info'!H80</f>
        <v>0</v>
      </c>
      <c r="G153" s="38">
        <f>'Base Lease Info'!I80</f>
        <v>0</v>
      </c>
      <c r="I153" s="25"/>
    </row>
    <row r="154" spans="2:9" x14ac:dyDescent="0.2">
      <c r="B154" s="24" t="s">
        <v>43</v>
      </c>
      <c r="C154" s="14">
        <f>SUM(C151:C153)</f>
        <v>731.25</v>
      </c>
      <c r="D154" s="14">
        <f t="shared" ref="D154:G154" si="26">SUM(D151:D153)</f>
        <v>511.875</v>
      </c>
      <c r="E154" s="14">
        <f t="shared" si="26"/>
        <v>401.375</v>
      </c>
      <c r="F154" s="14">
        <f t="shared" si="26"/>
        <v>398.125</v>
      </c>
      <c r="G154" s="76">
        <f t="shared" si="26"/>
        <v>799.5</v>
      </c>
      <c r="I154" t="s">
        <v>42</v>
      </c>
    </row>
    <row r="155" spans="2:9" x14ac:dyDescent="0.2">
      <c r="B155" s="24"/>
      <c r="C155" s="14"/>
      <c r="D155" s="14"/>
      <c r="E155" s="14"/>
      <c r="F155" s="14"/>
      <c r="G155" s="76"/>
    </row>
    <row r="156" spans="2:9" x14ac:dyDescent="0.2">
      <c r="B156" s="40" t="s">
        <v>79</v>
      </c>
      <c r="C156" s="14"/>
      <c r="D156" s="14"/>
      <c r="E156" s="14"/>
      <c r="F156" s="14"/>
      <c r="G156" s="76"/>
    </row>
    <row r="157" spans="2:9" x14ac:dyDescent="0.2">
      <c r="B157" s="27" t="s">
        <v>81</v>
      </c>
      <c r="C157" s="95">
        <f>'Base Lease Info'!E83</f>
        <v>0.8</v>
      </c>
      <c r="D157" s="96"/>
      <c r="E157" s="96"/>
      <c r="F157" s="4"/>
      <c r="G157" s="37"/>
    </row>
    <row r="158" spans="2:9" x14ac:dyDescent="0.2">
      <c r="B158" s="27" t="s">
        <v>80</v>
      </c>
      <c r="C158" s="95">
        <f>'Base Lease Info'!E84</f>
        <v>0.5</v>
      </c>
      <c r="D158" s="95">
        <f>'Base Lease Info'!F84</f>
        <v>0.4</v>
      </c>
      <c r="E158" s="95">
        <f>'Base Lease Info'!G84</f>
        <v>9.9999999999999978E-2</v>
      </c>
      <c r="F158" s="3"/>
      <c r="G158" s="39"/>
    </row>
    <row r="159" spans="2:9" x14ac:dyDescent="0.2">
      <c r="B159" s="27" t="s">
        <v>82</v>
      </c>
      <c r="C159" s="93">
        <f>'Base Lease Info'!E85</f>
        <v>3.7</v>
      </c>
      <c r="D159" s="93">
        <f>'Base Lease Info'!F85</f>
        <v>8.4</v>
      </c>
      <c r="E159" s="93">
        <f>'Base Lease Info'!G85</f>
        <v>5.5</v>
      </c>
      <c r="F159" s="3"/>
      <c r="G159" s="39"/>
    </row>
    <row r="160" spans="2:9" x14ac:dyDescent="0.2">
      <c r="B160" s="27" t="s">
        <v>83</v>
      </c>
      <c r="C160" s="97">
        <f>'Base Lease Info'!E86</f>
        <v>155</v>
      </c>
      <c r="D160" s="97">
        <f>'Base Lease Info'!F86</f>
        <v>48</v>
      </c>
      <c r="E160" s="97">
        <f>'Base Lease Info'!G86</f>
        <v>60</v>
      </c>
      <c r="F160" s="28"/>
      <c r="G160" s="77"/>
    </row>
    <row r="161" spans="2:9" x14ac:dyDescent="0.2">
      <c r="B161" s="27" t="s">
        <v>84</v>
      </c>
      <c r="C161" s="3">
        <f>IF(C150&lt;C159,(C159-C150)*C160*0.85,0)</f>
        <v>0</v>
      </c>
      <c r="D161" s="3">
        <f t="shared" ref="D161:E161" si="27">IF(D150&lt;D159,(D159-D150)*D160*0.85,0)</f>
        <v>0</v>
      </c>
      <c r="E161" s="3">
        <f t="shared" si="27"/>
        <v>38.25</v>
      </c>
      <c r="F161" s="28"/>
      <c r="G161" s="77"/>
    </row>
    <row r="162" spans="2:9" x14ac:dyDescent="0.2">
      <c r="B162" s="27" t="s">
        <v>85</v>
      </c>
      <c r="C162" s="320">
        <f>(C161*C158+D161*D158+E161*E158)*C157</f>
        <v>3.0599999999999996</v>
      </c>
      <c r="D162" s="321"/>
      <c r="E162" s="322"/>
      <c r="F162" s="3"/>
      <c r="G162" s="39"/>
    </row>
    <row r="163" spans="2:9" x14ac:dyDescent="0.2">
      <c r="B163" s="27"/>
      <c r="C163" s="29"/>
      <c r="D163" s="3"/>
      <c r="E163" s="3"/>
      <c r="F163" s="3"/>
      <c r="G163" s="39"/>
    </row>
    <row r="164" spans="2:9" x14ac:dyDescent="0.2">
      <c r="B164" s="17"/>
      <c r="C164" s="2"/>
      <c r="D164" s="2"/>
      <c r="E164" s="2"/>
      <c r="F164" s="2"/>
      <c r="G164" s="78"/>
    </row>
    <row r="165" spans="2:9" x14ac:dyDescent="0.2">
      <c r="B165" s="16" t="s">
        <v>1</v>
      </c>
      <c r="C165" s="2"/>
      <c r="D165" s="2"/>
      <c r="E165" s="2"/>
      <c r="F165" s="2"/>
      <c r="G165" s="78"/>
    </row>
    <row r="166" spans="2:9" x14ac:dyDescent="0.2">
      <c r="B166" s="17" t="s">
        <v>2</v>
      </c>
      <c r="C166" s="3">
        <f>'Base Lease Info'!F25</f>
        <v>275</v>
      </c>
      <c r="D166" s="3">
        <f>'Base Lease Info'!G25</f>
        <v>150</v>
      </c>
      <c r="E166" s="3">
        <f>'Base Lease Info'!H25</f>
        <v>140</v>
      </c>
      <c r="F166" s="3">
        <f>'Base Lease Info'!I25</f>
        <v>150</v>
      </c>
      <c r="G166" s="39">
        <f>E166+F166</f>
        <v>290</v>
      </c>
      <c r="I166" t="s">
        <v>45</v>
      </c>
    </row>
    <row r="167" spans="2:9" x14ac:dyDescent="0.2">
      <c r="B167" s="17" t="s">
        <v>6</v>
      </c>
      <c r="C167" s="3">
        <f>'Base Lease Info'!F26</f>
        <v>140</v>
      </c>
      <c r="D167" s="3">
        <f>'Base Lease Info'!G26</f>
        <v>90</v>
      </c>
      <c r="E167" s="3">
        <f>'Base Lease Info'!H26</f>
        <v>90</v>
      </c>
      <c r="F167" s="3">
        <f>'Base Lease Info'!I26</f>
        <v>85</v>
      </c>
      <c r="G167" s="39">
        <f t="shared" ref="G167:G168" si="28">E167+F167</f>
        <v>175</v>
      </c>
      <c r="I167" t="s">
        <v>46</v>
      </c>
    </row>
    <row r="168" spans="2:9" x14ac:dyDescent="0.2">
      <c r="B168" s="17" t="s">
        <v>3</v>
      </c>
      <c r="C168" s="3">
        <f>'Base Lease Info'!F27</f>
        <v>60</v>
      </c>
      <c r="D168" s="3">
        <f>'Base Lease Info'!G27</f>
        <v>40</v>
      </c>
      <c r="E168" s="3">
        <f>'Base Lease Info'!H27</f>
        <v>40</v>
      </c>
      <c r="F168" s="3">
        <f>'Base Lease Info'!I27</f>
        <v>40</v>
      </c>
      <c r="G168" s="39">
        <f t="shared" si="28"/>
        <v>80</v>
      </c>
      <c r="I168" t="s">
        <v>47</v>
      </c>
    </row>
    <row r="169" spans="2:9" x14ac:dyDescent="0.2">
      <c r="B169" s="18" t="s">
        <v>4</v>
      </c>
      <c r="C169" s="6">
        <f>$C144</f>
        <v>255.93749999999997</v>
      </c>
      <c r="D169" s="6">
        <f>D144</f>
        <v>204.75</v>
      </c>
      <c r="E169" s="6">
        <f>E144</f>
        <v>140.48124999999999</v>
      </c>
      <c r="F169" s="6">
        <f>F144</f>
        <v>139.34375</v>
      </c>
      <c r="G169" s="38">
        <f>G144</f>
        <v>279.82499999999999</v>
      </c>
      <c r="I169" t="s">
        <v>60</v>
      </c>
    </row>
    <row r="170" spans="2:9" x14ac:dyDescent="0.2">
      <c r="B170" s="24" t="s">
        <v>44</v>
      </c>
      <c r="C170" s="14">
        <f>SUM(C166:C169)</f>
        <v>730.9375</v>
      </c>
      <c r="D170" s="14">
        <f>SUM(D166:D169)</f>
        <v>484.75</v>
      </c>
      <c r="E170" s="14">
        <f t="shared" ref="E170" si="29">SUM(E166:E169)</f>
        <v>410.48124999999999</v>
      </c>
      <c r="F170" s="14">
        <f>SUM(F166:F169)</f>
        <v>414.34375</v>
      </c>
      <c r="G170" s="39">
        <f>SUM(G166:G169)</f>
        <v>824.82500000000005</v>
      </c>
      <c r="I170" t="s">
        <v>61</v>
      </c>
    </row>
    <row r="171" spans="2:9" x14ac:dyDescent="0.2">
      <c r="B171" s="17"/>
      <c r="C171" s="2"/>
      <c r="D171" s="2"/>
      <c r="E171" s="2"/>
      <c r="F171" s="2"/>
      <c r="G171" s="78"/>
    </row>
    <row r="172" spans="2:9" x14ac:dyDescent="0.2">
      <c r="B172" s="17" t="s">
        <v>8</v>
      </c>
      <c r="C172" s="3">
        <f>C154</f>
        <v>731.25</v>
      </c>
      <c r="D172" s="3">
        <f t="shared" ref="D172:G172" si="30">D154</f>
        <v>511.875</v>
      </c>
      <c r="E172" s="3">
        <f t="shared" si="30"/>
        <v>401.375</v>
      </c>
      <c r="F172" s="3">
        <f t="shared" si="30"/>
        <v>398.125</v>
      </c>
      <c r="G172" s="39">
        <f t="shared" si="30"/>
        <v>799.5</v>
      </c>
      <c r="I172" s="25" t="s">
        <v>67</v>
      </c>
    </row>
    <row r="173" spans="2:9" x14ac:dyDescent="0.2">
      <c r="B173" s="17" t="s">
        <v>9</v>
      </c>
      <c r="C173" s="5">
        <f>SUM(C166:C169)</f>
        <v>730.9375</v>
      </c>
      <c r="D173" s="5">
        <f t="shared" ref="D173:G173" si="31">SUM(D166:D169)</f>
        <v>484.75</v>
      </c>
      <c r="E173" s="5">
        <f t="shared" si="31"/>
        <v>410.48124999999999</v>
      </c>
      <c r="F173" s="5">
        <f t="shared" si="31"/>
        <v>414.34375</v>
      </c>
      <c r="G173" s="85">
        <f t="shared" si="31"/>
        <v>824.82500000000005</v>
      </c>
    </row>
    <row r="174" spans="2:9" x14ac:dyDescent="0.2">
      <c r="B174" s="21" t="s">
        <v>7</v>
      </c>
      <c r="C174" s="10">
        <f>C172-C173</f>
        <v>0.3125</v>
      </c>
      <c r="D174" s="10">
        <f>D172-D173</f>
        <v>27.125</v>
      </c>
      <c r="E174" s="10">
        <f>E172-E173</f>
        <v>-9.1062499999999886</v>
      </c>
      <c r="F174" s="10">
        <f t="shared" ref="F174:G174" si="32">F172-F173</f>
        <v>-16.21875</v>
      </c>
      <c r="G174" s="36">
        <f t="shared" si="32"/>
        <v>-25.325000000000045</v>
      </c>
      <c r="I174" t="s">
        <v>50</v>
      </c>
    </row>
    <row r="175" spans="2:9" ht="13.5" thickBot="1" x14ac:dyDescent="0.25">
      <c r="B175" s="22" t="s">
        <v>25</v>
      </c>
      <c r="C175" s="328">
        <f>IF('Base Lease Info'!F12='Base Lease Info'!L76,C174*'Base Lease Info'!F8 + D174*'Base Lease Info'!G8 + E174*'Base Lease Info'!H8 + F174*'Base Lease Info'!H8,C174*'Base Lease Info'!F8 + D174*'Base Lease Info'!G8 + G174*'Base Lease Info'!J8)</f>
        <v>0.60624999999998863</v>
      </c>
      <c r="D175" s="329"/>
      <c r="E175" s="329"/>
      <c r="F175" s="329"/>
      <c r="G175" s="330"/>
      <c r="I175" t="s">
        <v>51</v>
      </c>
    </row>
    <row r="176" spans="2:9" ht="13.5" thickTop="1" x14ac:dyDescent="0.2"/>
    <row r="177" spans="2:2" x14ac:dyDescent="0.2">
      <c r="B177" s="1" t="s">
        <v>59</v>
      </c>
    </row>
  </sheetData>
  <mergeCells count="36">
    <mergeCell ref="C50:G50"/>
    <mergeCell ref="B2:G2"/>
    <mergeCell ref="C3:D3"/>
    <mergeCell ref="C4:G4"/>
    <mergeCell ref="C5:G5"/>
    <mergeCell ref="C6:G6"/>
    <mergeCell ref="C13:G13"/>
    <mergeCell ref="C14:G14"/>
    <mergeCell ref="C30:E30"/>
    <mergeCell ref="C43:G43"/>
    <mergeCell ref="B48:G48"/>
    <mergeCell ref="C49:D49"/>
    <mergeCell ref="C102:G102"/>
    <mergeCell ref="C51:G51"/>
    <mergeCell ref="C52:G52"/>
    <mergeCell ref="C56:G56"/>
    <mergeCell ref="C57:G57"/>
    <mergeCell ref="C73:E73"/>
    <mergeCell ref="C86:G86"/>
    <mergeCell ref="B91:G91"/>
    <mergeCell ref="C92:D92"/>
    <mergeCell ref="C93:G93"/>
    <mergeCell ref="C94:G94"/>
    <mergeCell ref="C95:G95"/>
    <mergeCell ref="C175:G175"/>
    <mergeCell ref="C103:G103"/>
    <mergeCell ref="C119:E119"/>
    <mergeCell ref="C132:G132"/>
    <mergeCell ref="B137:G137"/>
    <mergeCell ref="C138:D138"/>
    <mergeCell ref="C139:G139"/>
    <mergeCell ref="C140:G140"/>
    <mergeCell ref="C141:G141"/>
    <mergeCell ref="C145:G145"/>
    <mergeCell ref="C146:G146"/>
    <mergeCell ref="C162:E162"/>
  </mergeCells>
  <pageMargins left="0.75" right="0.75" top="1" bottom="1" header="0.5" footer="0.5"/>
  <pageSetup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77"/>
  <sheetViews>
    <sheetView showGridLines="0" zoomScale="115" zoomScaleNormal="115" workbookViewId="0">
      <selection activeCell="F150" sqref="F150"/>
    </sheetView>
  </sheetViews>
  <sheetFormatPr defaultRowHeight="12.75" x14ac:dyDescent="0.2"/>
  <cols>
    <col min="1" max="1" width="2.42578125" customWidth="1"/>
    <col min="2" max="2" width="38.85546875" customWidth="1"/>
    <col min="3" max="3" width="12.140625" bestFit="1" customWidth="1"/>
    <col min="4" max="7" width="9.7109375" customWidth="1"/>
    <col min="8" max="8" width="3.42578125" customWidth="1"/>
    <col min="9" max="9" width="59.28515625" customWidth="1"/>
  </cols>
  <sheetData>
    <row r="1" spans="2:10" ht="13.5" thickBot="1" x14ac:dyDescent="0.25"/>
    <row r="2" spans="2:10" ht="17.25" thickTop="1" thickBot="1" x14ac:dyDescent="0.3">
      <c r="B2" s="334" t="s">
        <v>102</v>
      </c>
      <c r="C2" s="335"/>
      <c r="D2" s="335"/>
      <c r="E2" s="335"/>
      <c r="F2" s="335"/>
      <c r="G2" s="336"/>
      <c r="I2" s="7"/>
    </row>
    <row r="3" spans="2:10" ht="13.5" thickTop="1" x14ac:dyDescent="0.2">
      <c r="B3" s="68" t="s">
        <v>14</v>
      </c>
      <c r="C3" s="337"/>
      <c r="D3" s="337"/>
      <c r="E3" s="131"/>
      <c r="F3" s="131"/>
      <c r="G3" s="69"/>
      <c r="I3" s="7" t="s">
        <v>18</v>
      </c>
    </row>
    <row r="4" spans="2:10" x14ac:dyDescent="0.2">
      <c r="B4" s="17" t="s">
        <v>31</v>
      </c>
      <c r="C4" s="331">
        <f>'Base Lease Info'!F21</f>
        <v>150</v>
      </c>
      <c r="D4" s="332"/>
      <c r="E4" s="332"/>
      <c r="F4" s="332"/>
      <c r="G4" s="333"/>
      <c r="I4" s="7"/>
    </row>
    <row r="5" spans="2:10" x14ac:dyDescent="0.2">
      <c r="B5" s="17" t="s">
        <v>10</v>
      </c>
      <c r="C5" s="338">
        <f>'Base Lease Info'!F10</f>
        <v>125</v>
      </c>
      <c r="D5" s="339"/>
      <c r="E5" s="339"/>
      <c r="F5" s="339"/>
      <c r="G5" s="340"/>
      <c r="H5" s="15"/>
      <c r="I5" s="11"/>
    </row>
    <row r="6" spans="2:10" x14ac:dyDescent="0.2">
      <c r="B6" s="17" t="s">
        <v>32</v>
      </c>
      <c r="C6" s="331" t="str">
        <f>'Base Lease Info'!F11</f>
        <v>No</v>
      </c>
      <c r="D6" s="332"/>
      <c r="E6" s="332"/>
      <c r="F6" s="332"/>
      <c r="G6" s="333"/>
      <c r="H6" s="15"/>
      <c r="I6" s="11" t="s">
        <v>62</v>
      </c>
    </row>
    <row r="7" spans="2:10" x14ac:dyDescent="0.2">
      <c r="B7" s="17"/>
      <c r="C7" s="12" t="s">
        <v>22</v>
      </c>
      <c r="D7" s="12" t="s">
        <v>23</v>
      </c>
      <c r="E7" s="12" t="s">
        <v>73</v>
      </c>
      <c r="F7" s="12" t="s">
        <v>74</v>
      </c>
      <c r="G7" s="35" t="s">
        <v>76</v>
      </c>
      <c r="H7" s="15"/>
      <c r="I7" s="11"/>
    </row>
    <row r="8" spans="2:10" x14ac:dyDescent="0.2">
      <c r="B8" s="17" t="s">
        <v>28</v>
      </c>
      <c r="C8" s="13">
        <f>SUM('Base Lease Info'!F25:F27) + $C5</f>
        <v>600</v>
      </c>
      <c r="D8" s="13">
        <f>SUM('Base Lease Info'!G25:G27) + $C5</f>
        <v>405</v>
      </c>
      <c r="E8" s="13">
        <f>SUM('Base Lease Info'!H25:H27) + $C5</f>
        <v>395</v>
      </c>
      <c r="F8" s="13">
        <f>SUM('Base Lease Info'!I25:I27) + $C5</f>
        <v>400</v>
      </c>
      <c r="G8" s="70">
        <f>E8+F8</f>
        <v>795</v>
      </c>
      <c r="H8" s="15"/>
      <c r="I8" s="11" t="s">
        <v>54</v>
      </c>
    </row>
    <row r="9" spans="2:10" x14ac:dyDescent="0.2">
      <c r="B9" s="17" t="s">
        <v>11</v>
      </c>
      <c r="C9" s="30">
        <f>'Base Lease Info'!F16</f>
        <v>475</v>
      </c>
      <c r="D9" s="30">
        <f>'Base Lease Info'!G16</f>
        <v>325</v>
      </c>
      <c r="E9" s="30">
        <f>'Base Lease Info'!H16</f>
        <v>325</v>
      </c>
      <c r="F9" s="30">
        <f>'Base Lease Info'!I16</f>
        <v>250</v>
      </c>
      <c r="G9" s="70">
        <f>E9+F9</f>
        <v>575</v>
      </c>
      <c r="I9" s="11" t="s">
        <v>38</v>
      </c>
      <c r="J9" s="1"/>
    </row>
    <row r="10" spans="2:10" x14ac:dyDescent="0.2">
      <c r="B10" s="18" t="s">
        <v>12</v>
      </c>
      <c r="C10" s="31">
        <f>'Base Lease Info'!F17</f>
        <v>0.35</v>
      </c>
      <c r="D10" s="31">
        <f>'Base Lease Info'!G17</f>
        <v>0.4</v>
      </c>
      <c r="E10" s="31">
        <f>'Base Lease Info'!H17</f>
        <v>0.35</v>
      </c>
      <c r="F10" s="31">
        <f>'Base Lease Info'!I17</f>
        <v>0.35</v>
      </c>
      <c r="G10" s="71">
        <f>E10*(E17/G17) + F10*(F17/G17)</f>
        <v>0.35</v>
      </c>
      <c r="H10" s="15"/>
      <c r="I10" s="11" t="s">
        <v>39</v>
      </c>
    </row>
    <row r="11" spans="2:10" x14ac:dyDescent="0.2">
      <c r="B11" s="18" t="s">
        <v>55</v>
      </c>
      <c r="C11" s="10">
        <f>IF($C6='Base Lease Info'!$J$75,(C19+C20-C9)*C10,IF((C19 + C20) &gt; C9,(C19+C20-C9)*C10,0))</f>
        <v>17.5</v>
      </c>
      <c r="D11" s="10">
        <f>IF($C6='Base Lease Info'!$J$75,(D19+D20-D9)*D10,IF((D19 + D20) &gt; D9,(D19+D20-D9)*D10,0))</f>
        <v>17.000000000000025</v>
      </c>
      <c r="E11" s="10">
        <f>IF($C6='Base Lease Info'!$J$75,(E19+E20-E9)*E10,IF((E19 + E20) &gt; E9,(E19+E20-E9)*E10,0))</f>
        <v>0</v>
      </c>
      <c r="F11" s="10">
        <f>IF($C6='Base Lease Info'!$J$75,(F19+F20-F9)*F10,IF((F19 + F20) &gt; F9,(F19+F20-F9)*F10,0))</f>
        <v>12.541666666666679</v>
      </c>
      <c r="G11" s="36">
        <f>IF($C6='Base Lease Info'!$J$75,(G19+G20-G9)*G10,IF((G19 + G20) &gt; G9,(G19+G20-G9)*G10,0))</f>
        <v>0</v>
      </c>
      <c r="H11" s="15"/>
      <c r="I11" s="11" t="s">
        <v>57</v>
      </c>
    </row>
    <row r="12" spans="2:10" ht="15.75" x14ac:dyDescent="0.25">
      <c r="B12" s="19" t="s">
        <v>56</v>
      </c>
      <c r="C12" s="9">
        <f>IF($C6='Base Lease Info'!$J$75,$C5+(C19+C20-C9)*C10,IF((C19 + C20) &gt; C9,$C5+(C19+C20-C9)*C10,$C5))</f>
        <v>142.5</v>
      </c>
      <c r="D12" s="9">
        <f>IF($C6='Base Lease Info'!$J$75,$C5+(D19+D20-D9)*D10,IF((D19 + D20) &gt; D9,$C5+(D19+D20-D9)*D10,$C5))</f>
        <v>142.00000000000003</v>
      </c>
      <c r="E12" s="9">
        <f>IF($C6='Base Lease Info'!$J$75,$C5/2+(E19+E20-E9)*E10,IF((E19 + E20) &gt; E9,$C5/2+(E19+E20-E9)*E10,$C5/2))</f>
        <v>62.5</v>
      </c>
      <c r="F12" s="9">
        <f>IF($C6='Base Lease Info'!$J$75,$C5/2+(F19+F20-F9)*F10,IF((F19 + F20) &gt; F9,$C5/2+(F19+F20-F9)*F10,$C5/2))</f>
        <v>75.041666666666686</v>
      </c>
      <c r="G12" s="72">
        <f>IF($C6='Base Lease Info'!$J$75,$C5+(G19+G20-G9)*G10,IF((G19 + G20) &gt; G9,$C5+(G19+G20-G9)*G10,$C5))</f>
        <v>125</v>
      </c>
      <c r="I12" t="s">
        <v>40</v>
      </c>
    </row>
    <row r="13" spans="2:10" ht="15.75" x14ac:dyDescent="0.25">
      <c r="B13" s="19" t="s">
        <v>58</v>
      </c>
      <c r="C13" s="323">
        <f>IF('Base Lease Info'!F12='Base Lease Info'!L75,C12*'Base Lease Info'!F8 + D12*'Base Lease Info'!G8 + G12*'Base Lease Info'!J8, C12*'Base Lease Info'!F8 + D12*'Base Lease Info'!G8 + E12*'Base Lease Info'!H8 + F12*'Base Lease Info'!H8)</f>
        <v>138</v>
      </c>
      <c r="D13" s="323"/>
      <c r="E13" s="323"/>
      <c r="F13" s="323"/>
      <c r="G13" s="324"/>
      <c r="I13" t="s">
        <v>48</v>
      </c>
    </row>
    <row r="14" spans="2:10" x14ac:dyDescent="0.2">
      <c r="B14" s="17" t="s">
        <v>19</v>
      </c>
      <c r="C14" s="325">
        <f>C13/$C4-1</f>
        <v>-7.999999999999996E-2</v>
      </c>
      <c r="D14" s="326"/>
      <c r="E14" s="326"/>
      <c r="F14" s="326"/>
      <c r="G14" s="327"/>
      <c r="I14" t="s">
        <v>49</v>
      </c>
    </row>
    <row r="15" spans="2:10" x14ac:dyDescent="0.2">
      <c r="B15" s="17"/>
      <c r="C15" s="8"/>
      <c r="D15" s="8"/>
      <c r="E15" s="8"/>
      <c r="F15" s="8"/>
      <c r="G15" s="73"/>
    </row>
    <row r="16" spans="2:10" x14ac:dyDescent="0.2">
      <c r="B16" s="20" t="s">
        <v>20</v>
      </c>
      <c r="C16" s="12" t="s">
        <v>22</v>
      </c>
      <c r="D16" s="12" t="s">
        <v>23</v>
      </c>
      <c r="E16" s="12" t="s">
        <v>73</v>
      </c>
      <c r="F16" s="12" t="s">
        <v>74</v>
      </c>
      <c r="G16" s="35" t="s">
        <v>76</v>
      </c>
    </row>
    <row r="17" spans="2:9" x14ac:dyDescent="0.2">
      <c r="B17" s="17" t="s">
        <v>0</v>
      </c>
      <c r="C17" s="32">
        <f>'Base Lease Info'!F4</f>
        <v>150</v>
      </c>
      <c r="D17" s="32">
        <f>'Base Lease Info'!G4</f>
        <v>45</v>
      </c>
      <c r="E17" s="32">
        <f>'Base Lease Info'!H4</f>
        <v>65</v>
      </c>
      <c r="F17" s="32">
        <f>'Base Lease Info'!I4</f>
        <v>35</v>
      </c>
      <c r="G17" s="74">
        <f>E17+F17</f>
        <v>100</v>
      </c>
      <c r="I17" t="s">
        <v>26</v>
      </c>
    </row>
    <row r="18" spans="2:9" x14ac:dyDescent="0.2">
      <c r="B18" s="17" t="s">
        <v>21</v>
      </c>
      <c r="C18" s="89">
        <f>'Base Lease Info'!B44</f>
        <v>3.5</v>
      </c>
      <c r="D18" s="89">
        <f>'Base Lease Info'!C44</f>
        <v>8.1666666666666679</v>
      </c>
      <c r="E18" s="89">
        <f>'Base Lease Info'!E44</f>
        <v>4.4333333333333336</v>
      </c>
      <c r="F18" s="26">
        <f>D18</f>
        <v>8.1666666666666679</v>
      </c>
      <c r="G18" s="81">
        <f>E18*(E17/G17) + F18*(F17/G17)</f>
        <v>5.74</v>
      </c>
      <c r="I18" t="s">
        <v>27</v>
      </c>
    </row>
    <row r="19" spans="2:9" x14ac:dyDescent="0.2">
      <c r="B19" s="17" t="s">
        <v>5</v>
      </c>
      <c r="C19" s="3">
        <f>C17*C18</f>
        <v>525</v>
      </c>
      <c r="D19" s="3">
        <f>D17*D18</f>
        <v>367.50000000000006</v>
      </c>
      <c r="E19" s="3">
        <f t="shared" ref="E19:F19" si="0">E17*E18</f>
        <v>288.16666666666669</v>
      </c>
      <c r="F19" s="3">
        <f t="shared" si="0"/>
        <v>285.83333333333337</v>
      </c>
      <c r="G19" s="46">
        <f>G17*G18</f>
        <v>574</v>
      </c>
      <c r="I19" t="s">
        <v>41</v>
      </c>
    </row>
    <row r="20" spans="2:9" x14ac:dyDescent="0.2">
      <c r="B20" s="17" t="s">
        <v>13</v>
      </c>
      <c r="C20" s="3">
        <f>IF('Base Lease Info'!$F6='Base Lease Info'!$J$75,$C30,0)</f>
        <v>0</v>
      </c>
      <c r="D20" s="3">
        <f>IF('Base Lease Info'!$F6='Base Lease Info'!$J$75,$C30,0)</f>
        <v>0</v>
      </c>
      <c r="E20" s="3">
        <f>IF('Base Lease Info'!$F6='Base Lease Info'!$J$75,$C30,0)</f>
        <v>0</v>
      </c>
      <c r="F20" s="3">
        <f>IF('Base Lease Info'!$F6='Base Lease Info'!$J$75,$C30,0)</f>
        <v>0</v>
      </c>
      <c r="G20" s="39">
        <f>IF('Base Lease Info'!$F6='Base Lease Info'!$J$75,$C30,0)</f>
        <v>0</v>
      </c>
      <c r="I20" s="25" t="s">
        <v>63</v>
      </c>
    </row>
    <row r="21" spans="2:9" x14ac:dyDescent="0.2">
      <c r="B21" s="27" t="s">
        <v>107</v>
      </c>
      <c r="C21" s="6">
        <f>'Base Lease Info'!E80</f>
        <v>0</v>
      </c>
      <c r="D21" s="6">
        <f>'Base Lease Info'!F80</f>
        <v>0</v>
      </c>
      <c r="E21" s="6">
        <f>'Base Lease Info'!G80</f>
        <v>0</v>
      </c>
      <c r="F21" s="6">
        <f>'Base Lease Info'!H80</f>
        <v>0</v>
      </c>
      <c r="G21" s="38">
        <f>'Base Lease Info'!I80</f>
        <v>0</v>
      </c>
      <c r="I21" s="25"/>
    </row>
    <row r="22" spans="2:9" x14ac:dyDescent="0.2">
      <c r="B22" s="24" t="s">
        <v>43</v>
      </c>
      <c r="C22" s="14">
        <f>SUM(C19:C21)</f>
        <v>525</v>
      </c>
      <c r="D22" s="14">
        <f t="shared" ref="D22:G22" si="1">SUM(D19:D21)</f>
        <v>367.50000000000006</v>
      </c>
      <c r="E22" s="14">
        <f t="shared" si="1"/>
        <v>288.16666666666669</v>
      </c>
      <c r="F22" s="14">
        <f t="shared" si="1"/>
        <v>285.83333333333337</v>
      </c>
      <c r="G22" s="76">
        <f t="shared" si="1"/>
        <v>574</v>
      </c>
      <c r="I22" t="s">
        <v>42</v>
      </c>
    </row>
    <row r="23" spans="2:9" x14ac:dyDescent="0.2">
      <c r="B23" s="24"/>
      <c r="C23" s="14"/>
      <c r="D23" s="14"/>
      <c r="E23" s="14"/>
      <c r="F23" s="14"/>
      <c r="G23" s="76"/>
    </row>
    <row r="24" spans="2:9" x14ac:dyDescent="0.2">
      <c r="B24" s="40" t="s">
        <v>79</v>
      </c>
      <c r="C24" s="14"/>
      <c r="D24" s="14"/>
      <c r="E24" s="14"/>
      <c r="F24" s="14"/>
      <c r="G24" s="76"/>
    </row>
    <row r="25" spans="2:9" x14ac:dyDescent="0.2">
      <c r="B25" s="27" t="s">
        <v>81</v>
      </c>
      <c r="C25" s="95">
        <f>'Base Lease Info'!E83</f>
        <v>0.8</v>
      </c>
      <c r="D25" s="96"/>
      <c r="E25" s="96"/>
      <c r="F25" s="4"/>
      <c r="G25" s="37"/>
    </row>
    <row r="26" spans="2:9" x14ac:dyDescent="0.2">
      <c r="B26" s="27" t="s">
        <v>80</v>
      </c>
      <c r="C26" s="95">
        <f>'Base Lease Info'!E84</f>
        <v>0.5</v>
      </c>
      <c r="D26" s="95">
        <f>'Base Lease Info'!F84</f>
        <v>0.4</v>
      </c>
      <c r="E26" s="95">
        <f>'Base Lease Info'!G84</f>
        <v>9.9999999999999978E-2</v>
      </c>
      <c r="F26" s="3"/>
      <c r="G26" s="39"/>
    </row>
    <row r="27" spans="2:9" x14ac:dyDescent="0.2">
      <c r="B27" s="27" t="s">
        <v>82</v>
      </c>
      <c r="C27" s="93">
        <f>'Base Lease Info'!E85</f>
        <v>3.7</v>
      </c>
      <c r="D27" s="93">
        <f>'Base Lease Info'!F85</f>
        <v>8.4</v>
      </c>
      <c r="E27" s="93">
        <f>'Base Lease Info'!G85</f>
        <v>5.5</v>
      </c>
      <c r="F27" s="3"/>
      <c r="G27" s="39"/>
    </row>
    <row r="28" spans="2:9" x14ac:dyDescent="0.2">
      <c r="B28" s="27" t="s">
        <v>83</v>
      </c>
      <c r="C28" s="97">
        <f>'Base Lease Info'!E86</f>
        <v>155</v>
      </c>
      <c r="D28" s="97">
        <f>'Base Lease Info'!F86</f>
        <v>48</v>
      </c>
      <c r="E28" s="97">
        <f>'Base Lease Info'!G86</f>
        <v>60</v>
      </c>
      <c r="F28" s="28"/>
      <c r="G28" s="77"/>
    </row>
    <row r="29" spans="2:9" x14ac:dyDescent="0.2">
      <c r="B29" s="27" t="s">
        <v>84</v>
      </c>
      <c r="C29" s="94">
        <f>IF(C18&lt;C27,(C27-C18)*C28*0.85,0)</f>
        <v>26.350000000000023</v>
      </c>
      <c r="D29" s="94">
        <f t="shared" ref="D29:E29" si="2">IF(D18&lt;D27,(D27-D18)*D28*0.85,0)</f>
        <v>9.5199999999999658</v>
      </c>
      <c r="E29" s="94">
        <f t="shared" si="2"/>
        <v>54.399999999999984</v>
      </c>
      <c r="F29" s="28"/>
      <c r="G29" s="77"/>
    </row>
    <row r="30" spans="2:9" x14ac:dyDescent="0.2">
      <c r="B30" s="27" t="s">
        <v>85</v>
      </c>
      <c r="C30" s="320">
        <f>(C29*C26+D29*D26+E29*E26)*C25</f>
        <v>17.938399999999998</v>
      </c>
      <c r="D30" s="321"/>
      <c r="E30" s="322"/>
      <c r="F30" s="3"/>
      <c r="G30" s="39"/>
    </row>
    <row r="31" spans="2:9" x14ac:dyDescent="0.2">
      <c r="B31" s="27"/>
      <c r="C31" s="29"/>
      <c r="D31" s="3"/>
      <c r="E31" s="3"/>
      <c r="F31" s="3"/>
      <c r="G31" s="39"/>
    </row>
    <row r="32" spans="2:9" x14ac:dyDescent="0.2">
      <c r="B32" s="17"/>
      <c r="C32" s="2"/>
      <c r="D32" s="2"/>
      <c r="E32" s="2"/>
      <c r="F32" s="2"/>
      <c r="G32" s="78"/>
    </row>
    <row r="33" spans="2:9" x14ac:dyDescent="0.2">
      <c r="B33" s="16" t="s">
        <v>1</v>
      </c>
      <c r="C33" s="2"/>
      <c r="D33" s="2"/>
      <c r="E33" s="2"/>
      <c r="F33" s="2"/>
      <c r="G33" s="78"/>
    </row>
    <row r="34" spans="2:9" x14ac:dyDescent="0.2">
      <c r="B34" s="17" t="s">
        <v>2</v>
      </c>
      <c r="C34" s="3">
        <f>'Base Lease Info'!F25</f>
        <v>275</v>
      </c>
      <c r="D34" s="3">
        <f>'Base Lease Info'!G25</f>
        <v>150</v>
      </c>
      <c r="E34" s="3">
        <f>'Base Lease Info'!H25</f>
        <v>140</v>
      </c>
      <c r="F34" s="3">
        <f>'Base Lease Info'!I25</f>
        <v>150</v>
      </c>
      <c r="G34" s="39">
        <f>E34+F34</f>
        <v>290</v>
      </c>
      <c r="I34" t="s">
        <v>45</v>
      </c>
    </row>
    <row r="35" spans="2:9" x14ac:dyDescent="0.2">
      <c r="B35" s="17" t="s">
        <v>6</v>
      </c>
      <c r="C35" s="3">
        <f>'Base Lease Info'!F26</f>
        <v>140</v>
      </c>
      <c r="D35" s="3">
        <f>'Base Lease Info'!G26</f>
        <v>90</v>
      </c>
      <c r="E35" s="3">
        <f>'Base Lease Info'!H26</f>
        <v>90</v>
      </c>
      <c r="F35" s="3">
        <f>'Base Lease Info'!I26</f>
        <v>85</v>
      </c>
      <c r="G35" s="39">
        <f t="shared" ref="G35:G36" si="3">E35+F35</f>
        <v>175</v>
      </c>
      <c r="I35" t="s">
        <v>46</v>
      </c>
    </row>
    <row r="36" spans="2:9" x14ac:dyDescent="0.2">
      <c r="B36" s="17" t="s">
        <v>3</v>
      </c>
      <c r="C36" s="3">
        <f>'Base Lease Info'!F27</f>
        <v>60</v>
      </c>
      <c r="D36" s="3">
        <f>'Base Lease Info'!G27</f>
        <v>40</v>
      </c>
      <c r="E36" s="3">
        <f>'Base Lease Info'!H27</f>
        <v>40</v>
      </c>
      <c r="F36" s="3">
        <f>'Base Lease Info'!I27</f>
        <v>40</v>
      </c>
      <c r="G36" s="39">
        <f t="shared" si="3"/>
        <v>80</v>
      </c>
      <c r="I36" t="s">
        <v>47</v>
      </c>
    </row>
    <row r="37" spans="2:9" x14ac:dyDescent="0.2">
      <c r="B37" s="17" t="s">
        <v>4</v>
      </c>
      <c r="C37" s="6">
        <f>$C12</f>
        <v>142.5</v>
      </c>
      <c r="D37" s="6">
        <f>D12</f>
        <v>142.00000000000003</v>
      </c>
      <c r="E37" s="6">
        <f t="shared" ref="E37:F37" si="4">E12</f>
        <v>62.5</v>
      </c>
      <c r="F37" s="6">
        <f t="shared" si="4"/>
        <v>75.041666666666686</v>
      </c>
      <c r="G37" s="38">
        <f>G12</f>
        <v>125</v>
      </c>
      <c r="I37" t="s">
        <v>60</v>
      </c>
    </row>
    <row r="38" spans="2:9" x14ac:dyDescent="0.2">
      <c r="B38" s="24" t="s">
        <v>44</v>
      </c>
      <c r="C38" s="14">
        <f>SUM(C34:C37)</f>
        <v>617.5</v>
      </c>
      <c r="D38" s="14">
        <f>SUM(D34:D37)</f>
        <v>422</v>
      </c>
      <c r="E38" s="14">
        <f t="shared" ref="E38" si="5">SUM(E34:E37)</f>
        <v>332.5</v>
      </c>
      <c r="F38" s="14">
        <f>SUM(F34:F37)</f>
        <v>350.04166666666669</v>
      </c>
      <c r="G38" s="39">
        <f>SUM(G34:G37)</f>
        <v>670</v>
      </c>
      <c r="I38" t="s">
        <v>61</v>
      </c>
    </row>
    <row r="39" spans="2:9" x14ac:dyDescent="0.2">
      <c r="B39" s="17"/>
      <c r="C39" s="2"/>
      <c r="D39" s="2"/>
      <c r="E39" s="2"/>
      <c r="F39" s="2"/>
      <c r="G39" s="78"/>
    </row>
    <row r="40" spans="2:9" x14ac:dyDescent="0.2">
      <c r="B40" s="18" t="s">
        <v>8</v>
      </c>
      <c r="C40" s="3">
        <f>C22</f>
        <v>525</v>
      </c>
      <c r="D40" s="3">
        <f t="shared" ref="D40:G40" si="6">D22</f>
        <v>367.50000000000006</v>
      </c>
      <c r="E40" s="3">
        <f t="shared" si="6"/>
        <v>288.16666666666669</v>
      </c>
      <c r="F40" s="3">
        <f t="shared" si="6"/>
        <v>285.83333333333337</v>
      </c>
      <c r="G40" s="39">
        <f t="shared" si="6"/>
        <v>574</v>
      </c>
      <c r="I40" s="25" t="s">
        <v>67</v>
      </c>
    </row>
    <row r="41" spans="2:9" x14ac:dyDescent="0.2">
      <c r="B41" s="17" t="s">
        <v>9</v>
      </c>
      <c r="C41" s="5">
        <f>SUM(C34:C37)</f>
        <v>617.5</v>
      </c>
      <c r="D41" s="5">
        <f>SUM(D34:D37)</f>
        <v>422</v>
      </c>
      <c r="E41" s="5">
        <f t="shared" ref="E41" si="7">SUM(E34:E37)</f>
        <v>332.5</v>
      </c>
      <c r="F41" s="5">
        <f>SUM(F34:F37)</f>
        <v>350.04166666666669</v>
      </c>
      <c r="G41" s="39">
        <f>SUM(G34:G37)</f>
        <v>670</v>
      </c>
    </row>
    <row r="42" spans="2:9" x14ac:dyDescent="0.2">
      <c r="B42" s="21" t="s">
        <v>7</v>
      </c>
      <c r="C42" s="10">
        <f>C40-C41</f>
        <v>-92.5</v>
      </c>
      <c r="D42" s="10">
        <f>D40-D41</f>
        <v>-54.499999999999943</v>
      </c>
      <c r="E42" s="10">
        <f>E40-E41</f>
        <v>-44.333333333333314</v>
      </c>
      <c r="F42" s="10">
        <f t="shared" ref="F42:G42" si="8">F40-F41</f>
        <v>-64.208333333333314</v>
      </c>
      <c r="G42" s="36">
        <f t="shared" si="8"/>
        <v>-96</v>
      </c>
      <c r="I42" t="s">
        <v>50</v>
      </c>
    </row>
    <row r="43" spans="2:9" ht="13.5" thickBot="1" x14ac:dyDescent="0.25">
      <c r="B43" s="22" t="s">
        <v>25</v>
      </c>
      <c r="C43" s="328">
        <f>IF('Base Lease Info'!F12='Base Lease Info'!L76,C42*'Base Lease Info'!F8 + D42*'Base Lease Info'!G8 + E42*'Base Lease Info'!H8 + F42*'Base Lease Info'!H8,C42*'Base Lease Info'!F8 + D42*'Base Lease Info'!G8 + G42*'Base Lease Info'!J8)</f>
        <v>-83.874999999999986</v>
      </c>
      <c r="D43" s="329"/>
      <c r="E43" s="329"/>
      <c r="F43" s="329"/>
      <c r="G43" s="330"/>
      <c r="I43" t="s">
        <v>51</v>
      </c>
    </row>
    <row r="44" spans="2:9" ht="13.5" thickTop="1" x14ac:dyDescent="0.2"/>
    <row r="45" spans="2:9" x14ac:dyDescent="0.2">
      <c r="B45" s="1" t="s">
        <v>59</v>
      </c>
    </row>
    <row r="47" spans="2:9" ht="13.5" customHeight="1" thickBot="1" x14ac:dyDescent="0.25"/>
    <row r="48" spans="2:9" ht="17.25" thickTop="1" thickBot="1" x14ac:dyDescent="0.3">
      <c r="B48" s="334" t="s">
        <v>103</v>
      </c>
      <c r="C48" s="335"/>
      <c r="D48" s="335"/>
      <c r="E48" s="335"/>
      <c r="F48" s="335"/>
      <c r="G48" s="336"/>
      <c r="I48" s="7"/>
    </row>
    <row r="49" spans="2:11" ht="13.5" thickTop="1" x14ac:dyDescent="0.2">
      <c r="B49" s="68" t="s">
        <v>14</v>
      </c>
      <c r="C49" s="337"/>
      <c r="D49" s="337"/>
      <c r="E49" s="131"/>
      <c r="F49" s="131"/>
      <c r="G49" s="69"/>
      <c r="I49" s="7" t="s">
        <v>18</v>
      </c>
    </row>
    <row r="50" spans="2:11" x14ac:dyDescent="0.2">
      <c r="B50" s="17" t="s">
        <v>31</v>
      </c>
      <c r="C50" s="331">
        <f>'Base Lease Info'!F21</f>
        <v>150</v>
      </c>
      <c r="D50" s="332"/>
      <c r="E50" s="332"/>
      <c r="F50" s="332"/>
      <c r="G50" s="333"/>
      <c r="I50" s="7"/>
    </row>
    <row r="51" spans="2:11" x14ac:dyDescent="0.2">
      <c r="B51" s="17" t="s">
        <v>10</v>
      </c>
      <c r="C51" s="338">
        <f>'Base Lease Info'!F10</f>
        <v>125</v>
      </c>
      <c r="D51" s="339"/>
      <c r="E51" s="339"/>
      <c r="F51" s="339"/>
      <c r="G51" s="340"/>
      <c r="H51" s="15"/>
      <c r="I51" s="11"/>
    </row>
    <row r="52" spans="2:11" x14ac:dyDescent="0.2">
      <c r="B52" s="17" t="s">
        <v>32</v>
      </c>
      <c r="C52" s="331" t="str">
        <f>'Base Lease Info'!F11</f>
        <v>No</v>
      </c>
      <c r="D52" s="332"/>
      <c r="E52" s="332"/>
      <c r="F52" s="332"/>
      <c r="G52" s="333"/>
      <c r="H52" s="15"/>
      <c r="I52" s="11" t="s">
        <v>62</v>
      </c>
    </row>
    <row r="53" spans="2:11" x14ac:dyDescent="0.2">
      <c r="B53" s="27"/>
      <c r="C53" s="12" t="s">
        <v>22</v>
      </c>
      <c r="D53" s="12" t="s">
        <v>23</v>
      </c>
      <c r="E53" s="12" t="s">
        <v>73</v>
      </c>
      <c r="F53" s="12" t="s">
        <v>74</v>
      </c>
      <c r="G53" s="35" t="s">
        <v>76</v>
      </c>
      <c r="H53" s="15"/>
      <c r="I53" s="11"/>
    </row>
    <row r="54" spans="2:11" x14ac:dyDescent="0.2">
      <c r="B54" s="80" t="s">
        <v>12</v>
      </c>
      <c r="C54" s="31">
        <f>'Base Lease Info'!F17</f>
        <v>0.35</v>
      </c>
      <c r="D54" s="31">
        <f>'Base Lease Info'!G17</f>
        <v>0.4</v>
      </c>
      <c r="E54" s="31">
        <f>'Base Lease Info'!H17</f>
        <v>0.35</v>
      </c>
      <c r="F54" s="31">
        <f>'Base Lease Info'!I17</f>
        <v>0.35</v>
      </c>
      <c r="G54" s="71">
        <f>E54*(E60/G60) + F54*(F60/G60)</f>
        <v>0.35</v>
      </c>
      <c r="H54" s="15"/>
      <c r="I54" s="11" t="s">
        <v>39</v>
      </c>
    </row>
    <row r="55" spans="2:11" ht="15.75" x14ac:dyDescent="0.25">
      <c r="B55" s="19" t="s">
        <v>91</v>
      </c>
      <c r="C55" s="9">
        <f>IF($C$52='Base Lease Info'!$J$75,C83*C54,IF(C83*C54&gt;$C$51,C83*C54,$C$51))</f>
        <v>183.75</v>
      </c>
      <c r="D55" s="9">
        <f>IF($C$52='Base Lease Info'!$J$75,D83*D54,IF(D83*D54&gt;$C$51,D83*D54,$C$51))</f>
        <v>147.00000000000003</v>
      </c>
      <c r="E55" s="9">
        <f>IF($C$52='Base Lease Info'!$J$75,E83*E54,IF(E83*E54&gt;$C$51/2,E83*E54,$C$51/2))</f>
        <v>100.85833333333333</v>
      </c>
      <c r="F55" s="9">
        <f>IF($C$52='Base Lease Info'!$J$75,F83*F54,IF(F83*F54&gt;$C$51/2,F83*F54,$C$51/2))</f>
        <v>100.04166666666667</v>
      </c>
      <c r="G55" s="72">
        <f>IF($C$52='Base Lease Info'!$J$75,G83*G54,IF(G83*G54&gt;$C$51,G83*G54,$C$51))</f>
        <v>200.89999999999998</v>
      </c>
      <c r="I55" t="s">
        <v>40</v>
      </c>
    </row>
    <row r="56" spans="2:11" ht="15.75" x14ac:dyDescent="0.25">
      <c r="B56" s="19" t="s">
        <v>58</v>
      </c>
      <c r="C56" s="323">
        <f>IF('Base Lease Info'!F12='Base Lease Info'!L75,C55*'Base Lease Info'!F8 + D55*'Base Lease Info'!G8 + G55*'Base Lease Info'!J8, C55*'Base Lease Info'!F8 + D55*'Base Lease Info'!G8 + E55*'Base Lease Info'!H8 + F55*'Base Lease Info'!H8)</f>
        <v>178.85</v>
      </c>
      <c r="D56" s="323"/>
      <c r="E56" s="323"/>
      <c r="F56" s="323"/>
      <c r="G56" s="324"/>
      <c r="I56" t="s">
        <v>48</v>
      </c>
    </row>
    <row r="57" spans="2:11" x14ac:dyDescent="0.2">
      <c r="B57" s="17" t="s">
        <v>19</v>
      </c>
      <c r="C57" s="325">
        <f>C56/$C50-1</f>
        <v>0.19233333333333325</v>
      </c>
      <c r="D57" s="326"/>
      <c r="E57" s="326"/>
      <c r="F57" s="326"/>
      <c r="G57" s="327"/>
      <c r="I57" t="s">
        <v>49</v>
      </c>
    </row>
    <row r="58" spans="2:11" x14ac:dyDescent="0.2">
      <c r="B58" s="17"/>
      <c r="C58" s="8"/>
      <c r="D58" s="8"/>
      <c r="E58" s="8"/>
      <c r="F58" s="8"/>
      <c r="G58" s="73"/>
    </row>
    <row r="59" spans="2:11" x14ac:dyDescent="0.2">
      <c r="B59" s="20" t="s">
        <v>20</v>
      </c>
      <c r="C59" s="12" t="s">
        <v>22</v>
      </c>
      <c r="D59" s="12" t="s">
        <v>23</v>
      </c>
      <c r="E59" s="12" t="s">
        <v>73</v>
      </c>
      <c r="F59" s="12" t="s">
        <v>74</v>
      </c>
      <c r="G59" s="35" t="s">
        <v>76</v>
      </c>
    </row>
    <row r="60" spans="2:11" x14ac:dyDescent="0.2">
      <c r="B60" s="17" t="s">
        <v>0</v>
      </c>
      <c r="C60" s="32">
        <f>'Base Lease Info'!F4</f>
        <v>150</v>
      </c>
      <c r="D60" s="32">
        <f>'Base Lease Info'!G4</f>
        <v>45</v>
      </c>
      <c r="E60" s="32">
        <f>'Base Lease Info'!H4</f>
        <v>65</v>
      </c>
      <c r="F60" s="32">
        <f>'Base Lease Info'!I4</f>
        <v>35</v>
      </c>
      <c r="G60" s="74">
        <f>E60+F60</f>
        <v>100</v>
      </c>
      <c r="I60" t="s">
        <v>26</v>
      </c>
      <c r="K60" s="82"/>
    </row>
    <row r="61" spans="2:11" x14ac:dyDescent="0.2">
      <c r="B61" s="17" t="s">
        <v>21</v>
      </c>
      <c r="C61" s="89">
        <f>'Base Lease Info'!B44</f>
        <v>3.5</v>
      </c>
      <c r="D61" s="89">
        <f>'Base Lease Info'!C44</f>
        <v>8.1666666666666679</v>
      </c>
      <c r="E61" s="89">
        <f>'Base Lease Info'!E44</f>
        <v>4.4333333333333336</v>
      </c>
      <c r="F61" s="26">
        <f>D61</f>
        <v>8.1666666666666679</v>
      </c>
      <c r="G61" s="75">
        <f>E61*(E60/G60) + F61*(F60/G60)</f>
        <v>5.74</v>
      </c>
      <c r="I61" t="s">
        <v>27</v>
      </c>
    </row>
    <row r="62" spans="2:11" x14ac:dyDescent="0.2">
      <c r="B62" s="17" t="s">
        <v>5</v>
      </c>
      <c r="C62" s="3">
        <f>C60*C61</f>
        <v>525</v>
      </c>
      <c r="D62" s="3">
        <f>D60*D61</f>
        <v>367.50000000000006</v>
      </c>
      <c r="E62" s="3">
        <f t="shared" ref="E62:F62" si="9">E60*E61</f>
        <v>288.16666666666669</v>
      </c>
      <c r="F62" s="3">
        <f t="shared" si="9"/>
        <v>285.83333333333337</v>
      </c>
      <c r="G62" s="46">
        <f>G60*G61</f>
        <v>574</v>
      </c>
      <c r="I62" t="s">
        <v>41</v>
      </c>
    </row>
    <row r="63" spans="2:11" x14ac:dyDescent="0.2">
      <c r="B63" s="17" t="s">
        <v>13</v>
      </c>
      <c r="C63" s="3">
        <f>IF('Base Lease Info'!$F6='Base Lease Info'!$J$75,$C73,0)</f>
        <v>0</v>
      </c>
      <c r="D63" s="3">
        <f>IF('Base Lease Info'!$F6='Base Lease Info'!$J$75,$C73,0)</f>
        <v>0</v>
      </c>
      <c r="E63" s="3">
        <f>IF('Base Lease Info'!$F6='Base Lease Info'!$J$75,$C73,0)</f>
        <v>0</v>
      </c>
      <c r="F63" s="3">
        <f>IF('Base Lease Info'!$F6='Base Lease Info'!$J$75,$C73,0)</f>
        <v>0</v>
      </c>
      <c r="G63" s="39">
        <f>IF('Base Lease Info'!$F6='Base Lease Info'!$J$75,$C73,0)</f>
        <v>0</v>
      </c>
      <c r="I63" s="25" t="s">
        <v>63</v>
      </c>
    </row>
    <row r="64" spans="2:11" x14ac:dyDescent="0.2">
      <c r="B64" s="27" t="s">
        <v>107</v>
      </c>
      <c r="C64" s="6">
        <f>'Base Lease Info'!E80</f>
        <v>0</v>
      </c>
      <c r="D64" s="6">
        <f>'Base Lease Info'!F80</f>
        <v>0</v>
      </c>
      <c r="E64" s="6">
        <f>'Base Lease Info'!G80</f>
        <v>0</v>
      </c>
      <c r="F64" s="6">
        <f>'Base Lease Info'!H80</f>
        <v>0</v>
      </c>
      <c r="G64" s="38">
        <f>'Base Lease Info'!I80</f>
        <v>0</v>
      </c>
      <c r="I64" s="25"/>
    </row>
    <row r="65" spans="2:9" x14ac:dyDescent="0.2">
      <c r="B65" s="24" t="s">
        <v>43</v>
      </c>
      <c r="C65" s="14">
        <f>SUM(C62:C64)</f>
        <v>525</v>
      </c>
      <c r="D65" s="14">
        <f t="shared" ref="D65:G65" si="10">SUM(D62:D64)</f>
        <v>367.50000000000006</v>
      </c>
      <c r="E65" s="14">
        <f t="shared" si="10"/>
        <v>288.16666666666669</v>
      </c>
      <c r="F65" s="14">
        <f>SUM(F62:F64)</f>
        <v>285.83333333333337</v>
      </c>
      <c r="G65" s="76">
        <f t="shared" si="10"/>
        <v>574</v>
      </c>
      <c r="I65" t="s">
        <v>42</v>
      </c>
    </row>
    <row r="66" spans="2:9" x14ac:dyDescent="0.2">
      <c r="B66" s="24"/>
      <c r="C66" s="14"/>
      <c r="D66" s="14"/>
      <c r="E66" s="14"/>
      <c r="F66" s="14"/>
      <c r="G66" s="76"/>
    </row>
    <row r="67" spans="2:9" x14ac:dyDescent="0.2">
      <c r="B67" s="40" t="s">
        <v>79</v>
      </c>
      <c r="C67" s="14"/>
      <c r="D67" s="14"/>
      <c r="E67" s="14"/>
      <c r="F67" s="14"/>
      <c r="G67" s="76"/>
    </row>
    <row r="68" spans="2:9" x14ac:dyDescent="0.2">
      <c r="B68" s="27" t="s">
        <v>81</v>
      </c>
      <c r="C68" s="95">
        <f>'Base Lease Info'!E83</f>
        <v>0.8</v>
      </c>
      <c r="D68" s="96"/>
      <c r="E68" s="96"/>
      <c r="F68" s="4"/>
      <c r="G68" s="37"/>
    </row>
    <row r="69" spans="2:9" x14ac:dyDescent="0.2">
      <c r="B69" s="27" t="s">
        <v>80</v>
      </c>
      <c r="C69" s="95">
        <f>'Base Lease Info'!E84</f>
        <v>0.5</v>
      </c>
      <c r="D69" s="95">
        <f>'Base Lease Info'!F84</f>
        <v>0.4</v>
      </c>
      <c r="E69" s="95">
        <f>'Base Lease Info'!G84</f>
        <v>9.9999999999999978E-2</v>
      </c>
      <c r="F69" s="3"/>
      <c r="G69" s="39"/>
    </row>
    <row r="70" spans="2:9" x14ac:dyDescent="0.2">
      <c r="B70" s="27" t="s">
        <v>82</v>
      </c>
      <c r="C70" s="93">
        <f>'Base Lease Info'!E85</f>
        <v>3.7</v>
      </c>
      <c r="D70" s="93">
        <f>'Base Lease Info'!F85</f>
        <v>8.4</v>
      </c>
      <c r="E70" s="93">
        <f>'Base Lease Info'!G85</f>
        <v>5.5</v>
      </c>
      <c r="F70" s="3"/>
      <c r="G70" s="39"/>
    </row>
    <row r="71" spans="2:9" x14ac:dyDescent="0.2">
      <c r="B71" s="27" t="s">
        <v>83</v>
      </c>
      <c r="C71" s="97">
        <f>'Base Lease Info'!E86</f>
        <v>155</v>
      </c>
      <c r="D71" s="97">
        <f>'Base Lease Info'!F86</f>
        <v>48</v>
      </c>
      <c r="E71" s="97">
        <f>'Base Lease Info'!G86</f>
        <v>60</v>
      </c>
      <c r="F71" s="28"/>
      <c r="G71" s="77"/>
    </row>
    <row r="72" spans="2:9" x14ac:dyDescent="0.2">
      <c r="B72" s="27" t="s">
        <v>84</v>
      </c>
      <c r="C72" s="94">
        <f>IF(C61&lt;C70,(C70-C61)*C71*0.85,0)</f>
        <v>26.350000000000023</v>
      </c>
      <c r="D72" s="94">
        <f t="shared" ref="D72:E72" si="11">IF(D61&lt;D70,(D70-D61)*D71*0.85,0)</f>
        <v>9.5199999999999658</v>
      </c>
      <c r="E72" s="94">
        <f t="shared" si="11"/>
        <v>54.399999999999984</v>
      </c>
      <c r="F72" s="28"/>
      <c r="G72" s="77"/>
    </row>
    <row r="73" spans="2:9" x14ac:dyDescent="0.2">
      <c r="B73" s="27" t="s">
        <v>85</v>
      </c>
      <c r="C73" s="320">
        <f>(C72*C69+D72*D69+E72*E69)*C68</f>
        <v>17.938399999999998</v>
      </c>
      <c r="D73" s="321"/>
      <c r="E73" s="322"/>
      <c r="F73" s="3"/>
      <c r="G73" s="39"/>
    </row>
    <row r="74" spans="2:9" x14ac:dyDescent="0.2">
      <c r="B74" s="27"/>
      <c r="C74" s="29"/>
      <c r="D74" s="3"/>
      <c r="E74" s="3"/>
      <c r="F74" s="3"/>
      <c r="G74" s="39"/>
    </row>
    <row r="75" spans="2:9" x14ac:dyDescent="0.2">
      <c r="B75" s="17"/>
      <c r="C75" s="2"/>
      <c r="D75" s="2"/>
      <c r="E75" s="2"/>
      <c r="F75" s="2"/>
      <c r="G75" s="78"/>
    </row>
    <row r="76" spans="2:9" x14ac:dyDescent="0.2">
      <c r="B76" s="16" t="s">
        <v>1</v>
      </c>
      <c r="C76" s="2"/>
      <c r="D76" s="2"/>
      <c r="E76" s="2"/>
      <c r="F76" s="2"/>
      <c r="G76" s="78"/>
    </row>
    <row r="77" spans="2:9" x14ac:dyDescent="0.2">
      <c r="B77" s="17" t="s">
        <v>2</v>
      </c>
      <c r="C77" s="3">
        <f>'Base Lease Info'!F25</f>
        <v>275</v>
      </c>
      <c r="D77" s="3">
        <f>'Base Lease Info'!G25</f>
        <v>150</v>
      </c>
      <c r="E77" s="3">
        <f>'Base Lease Info'!H25</f>
        <v>140</v>
      </c>
      <c r="F77" s="3">
        <f>'Base Lease Info'!I25</f>
        <v>150</v>
      </c>
      <c r="G77" s="39">
        <f>E77+F77</f>
        <v>290</v>
      </c>
      <c r="I77" t="s">
        <v>45</v>
      </c>
    </row>
    <row r="78" spans="2:9" x14ac:dyDescent="0.2">
      <c r="B78" s="17" t="s">
        <v>6</v>
      </c>
      <c r="C78" s="3">
        <f>'Base Lease Info'!F26</f>
        <v>140</v>
      </c>
      <c r="D78" s="3">
        <f>'Base Lease Info'!G26</f>
        <v>90</v>
      </c>
      <c r="E78" s="3">
        <f>'Base Lease Info'!H26</f>
        <v>90</v>
      </c>
      <c r="F78" s="3">
        <f>'Base Lease Info'!I26</f>
        <v>85</v>
      </c>
      <c r="G78" s="39">
        <f t="shared" ref="G78:G79" si="12">E78+F78</f>
        <v>175</v>
      </c>
      <c r="I78" t="s">
        <v>46</v>
      </c>
    </row>
    <row r="79" spans="2:9" x14ac:dyDescent="0.2">
      <c r="B79" s="17" t="s">
        <v>3</v>
      </c>
      <c r="C79" s="3">
        <f>'Base Lease Info'!F27</f>
        <v>60</v>
      </c>
      <c r="D79" s="3">
        <f>'Base Lease Info'!G27</f>
        <v>40</v>
      </c>
      <c r="E79" s="3">
        <f>'Base Lease Info'!H27</f>
        <v>40</v>
      </c>
      <c r="F79" s="3">
        <f>'Base Lease Info'!I27</f>
        <v>40</v>
      </c>
      <c r="G79" s="39">
        <f t="shared" si="12"/>
        <v>80</v>
      </c>
      <c r="I79" t="s">
        <v>47</v>
      </c>
    </row>
    <row r="80" spans="2:9" x14ac:dyDescent="0.2">
      <c r="B80" s="18" t="s">
        <v>4</v>
      </c>
      <c r="C80" s="6">
        <f>$C55</f>
        <v>183.75</v>
      </c>
      <c r="D80" s="6">
        <f>D55</f>
        <v>147.00000000000003</v>
      </c>
      <c r="E80" s="6">
        <f>E55</f>
        <v>100.85833333333333</v>
      </c>
      <c r="F80" s="6">
        <f>F55</f>
        <v>100.04166666666667</v>
      </c>
      <c r="G80" s="38">
        <f>G55</f>
        <v>200.89999999999998</v>
      </c>
      <c r="I80" t="s">
        <v>60</v>
      </c>
    </row>
    <row r="81" spans="2:9" x14ac:dyDescent="0.2">
      <c r="B81" s="24" t="s">
        <v>44</v>
      </c>
      <c r="C81" s="14">
        <f>SUM(C77:C80)</f>
        <v>658.75</v>
      </c>
      <c r="D81" s="14">
        <f>SUM(D77:D80)</f>
        <v>427</v>
      </c>
      <c r="E81" s="14">
        <f t="shared" ref="E81" si="13">SUM(E77:E80)</f>
        <v>370.85833333333335</v>
      </c>
      <c r="F81" s="14">
        <f>SUM(F77:F80)</f>
        <v>375.04166666666669</v>
      </c>
      <c r="G81" s="39">
        <f>SUM(G77:G80)</f>
        <v>745.9</v>
      </c>
      <c r="I81" t="s">
        <v>61</v>
      </c>
    </row>
    <row r="82" spans="2:9" x14ac:dyDescent="0.2">
      <c r="B82" s="17"/>
      <c r="C82" s="2"/>
      <c r="D82" s="2"/>
      <c r="E82" s="2"/>
      <c r="F82" s="2"/>
      <c r="G82" s="78"/>
    </row>
    <row r="83" spans="2:9" x14ac:dyDescent="0.2">
      <c r="B83" s="17" t="s">
        <v>8</v>
      </c>
      <c r="C83" s="3">
        <f>C65</f>
        <v>525</v>
      </c>
      <c r="D83" s="3">
        <f t="shared" ref="D83:G83" si="14">D65</f>
        <v>367.50000000000006</v>
      </c>
      <c r="E83" s="3">
        <f t="shared" si="14"/>
        <v>288.16666666666669</v>
      </c>
      <c r="F83" s="3">
        <f t="shared" si="14"/>
        <v>285.83333333333337</v>
      </c>
      <c r="G83" s="39">
        <f t="shared" si="14"/>
        <v>574</v>
      </c>
      <c r="I83" s="25" t="s">
        <v>67</v>
      </c>
    </row>
    <row r="84" spans="2:9" x14ac:dyDescent="0.2">
      <c r="B84" s="17" t="s">
        <v>9</v>
      </c>
      <c r="C84" s="5">
        <f>SUM(C77:C80)</f>
        <v>658.75</v>
      </c>
      <c r="D84" s="5">
        <f t="shared" ref="D84:G84" si="15">SUM(D77:D80)</f>
        <v>427</v>
      </c>
      <c r="E84" s="5">
        <f t="shared" si="15"/>
        <v>370.85833333333335</v>
      </c>
      <c r="F84" s="5">
        <f t="shared" si="15"/>
        <v>375.04166666666669</v>
      </c>
      <c r="G84" s="85">
        <f t="shared" si="15"/>
        <v>745.9</v>
      </c>
    </row>
    <row r="85" spans="2:9" x14ac:dyDescent="0.2">
      <c r="B85" s="21" t="s">
        <v>7</v>
      </c>
      <c r="C85" s="10">
        <f>C83-C84</f>
        <v>-133.75</v>
      </c>
      <c r="D85" s="10">
        <f>D83-D84</f>
        <v>-59.499999999999943</v>
      </c>
      <c r="E85" s="10">
        <f>E83-E84</f>
        <v>-82.691666666666663</v>
      </c>
      <c r="F85" s="10">
        <f t="shared" ref="F85:G85" si="16">F83-F84</f>
        <v>-89.208333333333314</v>
      </c>
      <c r="G85" s="36">
        <f t="shared" si="16"/>
        <v>-171.89999999999998</v>
      </c>
      <c r="I85" t="s">
        <v>50</v>
      </c>
    </row>
    <row r="86" spans="2:9" ht="13.5" thickBot="1" x14ac:dyDescent="0.25">
      <c r="B86" s="22" t="s">
        <v>25</v>
      </c>
      <c r="C86" s="328">
        <f>IF('Base Lease Info'!F12='Base Lease Info'!L76,C85*'Base Lease Info'!F8 + D85*'Base Lease Info'!G8 + E85*'Base Lease Info'!H8 + F85*'Base Lease Info'!H8,C85*'Base Lease Info'!F8 + D85*'Base Lease Info'!G8 + G85*'Base Lease Info'!J8)</f>
        <v>-124.72499999999998</v>
      </c>
      <c r="D86" s="329"/>
      <c r="E86" s="329"/>
      <c r="F86" s="329"/>
      <c r="G86" s="330"/>
      <c r="I86" t="s">
        <v>51</v>
      </c>
    </row>
    <row r="87" spans="2:9" ht="13.5" thickTop="1" x14ac:dyDescent="0.2"/>
    <row r="88" spans="2:9" x14ac:dyDescent="0.2">
      <c r="B88" s="1" t="s">
        <v>59</v>
      </c>
    </row>
    <row r="90" spans="2:9" ht="13.5" thickBot="1" x14ac:dyDescent="0.25">
      <c r="B90" s="11"/>
      <c r="C90" s="11"/>
      <c r="D90" s="11"/>
      <c r="E90" s="11"/>
      <c r="F90" s="11"/>
      <c r="G90" s="11"/>
    </row>
    <row r="91" spans="2:9" ht="17.25" thickTop="1" thickBot="1" x14ac:dyDescent="0.3">
      <c r="B91" s="334" t="s">
        <v>104</v>
      </c>
      <c r="C91" s="335"/>
      <c r="D91" s="335"/>
      <c r="E91" s="335"/>
      <c r="F91" s="335"/>
      <c r="G91" s="336"/>
      <c r="I91" s="7"/>
    </row>
    <row r="92" spans="2:9" ht="13.5" thickTop="1" x14ac:dyDescent="0.2">
      <c r="B92" s="68" t="s">
        <v>14</v>
      </c>
      <c r="C92" s="337"/>
      <c r="D92" s="337"/>
      <c r="E92" s="131"/>
      <c r="F92" s="131"/>
      <c r="G92" s="69"/>
      <c r="I92" s="7" t="s">
        <v>18</v>
      </c>
    </row>
    <row r="93" spans="2:9" x14ac:dyDescent="0.2">
      <c r="B93" s="17" t="s">
        <v>31</v>
      </c>
      <c r="C93" s="331">
        <f>'Base Lease Info'!F21</f>
        <v>150</v>
      </c>
      <c r="D93" s="332"/>
      <c r="E93" s="332"/>
      <c r="F93" s="332"/>
      <c r="G93" s="333"/>
      <c r="I93" s="7"/>
    </row>
    <row r="94" spans="2:9" x14ac:dyDescent="0.2">
      <c r="B94" s="17" t="s">
        <v>10</v>
      </c>
      <c r="C94" s="331">
        <f>'Base Lease Info'!F10</f>
        <v>125</v>
      </c>
      <c r="D94" s="332"/>
      <c r="E94" s="332"/>
      <c r="F94" s="332"/>
      <c r="G94" s="333"/>
      <c r="H94" s="15"/>
      <c r="I94" s="11"/>
    </row>
    <row r="95" spans="2:9" x14ac:dyDescent="0.2">
      <c r="B95" s="17" t="s">
        <v>32</v>
      </c>
      <c r="C95" s="331" t="str">
        <f>'Base Lease Info'!F11</f>
        <v>No</v>
      </c>
      <c r="D95" s="332"/>
      <c r="E95" s="332"/>
      <c r="F95" s="332"/>
      <c r="G95" s="333"/>
      <c r="H95" s="15"/>
      <c r="I95" s="11" t="s">
        <v>62</v>
      </c>
    </row>
    <row r="96" spans="2:9" x14ac:dyDescent="0.2">
      <c r="B96" s="17"/>
      <c r="C96" s="12" t="s">
        <v>22</v>
      </c>
      <c r="D96" s="12" t="s">
        <v>23</v>
      </c>
      <c r="E96" s="12" t="s">
        <v>73</v>
      </c>
      <c r="F96" s="12" t="s">
        <v>74</v>
      </c>
      <c r="G96" s="35" t="s">
        <v>76</v>
      </c>
      <c r="H96" s="15"/>
      <c r="I96" s="11"/>
    </row>
    <row r="97" spans="2:9" x14ac:dyDescent="0.2">
      <c r="B97" s="17" t="s">
        <v>28</v>
      </c>
      <c r="C97" s="13">
        <f>SUM('Base Lease Info'!F25:F27)+C94</f>
        <v>600</v>
      </c>
      <c r="D97" s="13">
        <f>SUM('Base Lease Info'!G25:G27)+D94</f>
        <v>280</v>
      </c>
      <c r="E97" s="13">
        <f>SUM('Base Lease Info'!H25:H27)+E94</f>
        <v>270</v>
      </c>
      <c r="F97" s="13">
        <f>SUM('Base Lease Info'!I25:I27)+F94</f>
        <v>275</v>
      </c>
      <c r="G97" s="70">
        <f>E97+F97</f>
        <v>545</v>
      </c>
      <c r="H97" s="15"/>
      <c r="I97" s="11" t="s">
        <v>54</v>
      </c>
    </row>
    <row r="98" spans="2:9" x14ac:dyDescent="0.2">
      <c r="B98" s="17" t="s">
        <v>11</v>
      </c>
      <c r="C98" s="30">
        <f>'Base Lease Info'!F16</f>
        <v>475</v>
      </c>
      <c r="D98" s="30">
        <f>'Base Lease Info'!G16</f>
        <v>325</v>
      </c>
      <c r="E98" s="30">
        <f>'Base Lease Info'!H16</f>
        <v>325</v>
      </c>
      <c r="F98" s="30">
        <f>'Base Lease Info'!I16</f>
        <v>250</v>
      </c>
      <c r="G98" s="70">
        <f>E98+F98</f>
        <v>575</v>
      </c>
      <c r="I98" s="11" t="s">
        <v>38</v>
      </c>
    </row>
    <row r="99" spans="2:9" x14ac:dyDescent="0.2">
      <c r="B99" s="18" t="s">
        <v>12</v>
      </c>
      <c r="C99" s="31">
        <f>'Base Lease Info'!F17</f>
        <v>0.35</v>
      </c>
      <c r="D99" s="31">
        <f>'Base Lease Info'!G17</f>
        <v>0.4</v>
      </c>
      <c r="E99" s="31">
        <f>'Base Lease Info'!H17</f>
        <v>0.35</v>
      </c>
      <c r="F99" s="31">
        <f>'Base Lease Info'!I17</f>
        <v>0.35</v>
      </c>
      <c r="G99" s="90">
        <f>E99*(E106/G106) + F99*(F106/G106)</f>
        <v>0.35</v>
      </c>
      <c r="H99" s="15"/>
      <c r="I99" s="11" t="s">
        <v>39</v>
      </c>
    </row>
    <row r="100" spans="2:9" x14ac:dyDescent="0.2">
      <c r="B100" s="18" t="s">
        <v>55</v>
      </c>
      <c r="C100" s="10">
        <f>IF($C95='Base Lease Info'!$J$75,(C108+C109-C98)*C99,IF((C108 + C109) &gt; C98,(C108+C109-C98)*C99,0))</f>
        <v>10.9375</v>
      </c>
      <c r="D100" s="10">
        <f>IF($C95='Base Lease Info'!$J$75,(D108+D109-D98)*D99,IF((D108 + D109) &gt; D98,(D108+D109-D98)*D99,0))</f>
        <v>11.75</v>
      </c>
      <c r="E100" s="10">
        <f>IF($C95='Base Lease Info'!$J$75,(E108+E109-E98)*E99,IF((E108 + E109) &gt; E98,(E108+E109-E98)*E99,0))</f>
        <v>0</v>
      </c>
      <c r="F100" s="10">
        <f>IF($C95='Base Lease Info'!$J$75,(F108+F109-F98)*F99,IF((F108 + F109) &gt; F98,(F108+F109-F98)*F99,0))</f>
        <v>8.96875</v>
      </c>
      <c r="G100" s="36">
        <f>IF($C95='Base Lease Info'!$J$75,(G108+G109-G98)*G99,IF((G108 + G109) &gt; G98,(G108+G109-G98)*G99,0))</f>
        <v>0</v>
      </c>
      <c r="H100" s="15"/>
      <c r="I100" s="11" t="s">
        <v>57</v>
      </c>
    </row>
    <row r="101" spans="2:9" ht="15.75" x14ac:dyDescent="0.25">
      <c r="B101" s="19" t="s">
        <v>56</v>
      </c>
      <c r="C101" s="9">
        <f>IF($C95='Base Lease Info'!$J$75,$C94+(C108+C109-C98)*C99,IF((C108 + C109) &gt; C98,$C94+(C108+C109-C98)*C99,$C94))</f>
        <v>135.9375</v>
      </c>
      <c r="D101" s="9">
        <f>IF($C95='Base Lease Info'!$J$75,$C94+(D108+D109-D98)*D99,IF((D108 + D109) &gt; D98,$C94+(D108+D109-D98)*D99,$C94))</f>
        <v>136.75</v>
      </c>
      <c r="E101" s="9">
        <f>IF($C95='Base Lease Info'!$J$75,$C94/2+(E108+E109-E98)*E99,IF((E108 + E109) &gt; E98,$C94/2+(E108+E109-E98)*E99,$C94/2))</f>
        <v>62.5</v>
      </c>
      <c r="F101" s="9">
        <f>IF($C95='Base Lease Info'!$J$75,$C94/2+(F108+F109-F98)*F99,IF((F108 + F109) &gt; F98,$C94/2+(F108+F109-F98)*F99,$C94/2))</f>
        <v>71.46875</v>
      </c>
      <c r="G101" s="72">
        <f>IF($C95='Base Lease Info'!$J$75,$C94+(G108+G109-G98)*G99,IF((G108 + G109) &gt; G98,$C94+(G108+G109-G98)*G99,$C94))</f>
        <v>125</v>
      </c>
      <c r="I101" t="s">
        <v>40</v>
      </c>
    </row>
    <row r="102" spans="2:9" ht="15.75" x14ac:dyDescent="0.25">
      <c r="B102" s="19" t="s">
        <v>58</v>
      </c>
      <c r="C102" s="323">
        <f>IF('Base Lease Info'!F12='Base Lease Info'!L75,C101*'Base Lease Info'!F8 + D101*'Base Lease Info'!G8 + G101*'Base Lease Info'!J8, C101*'Base Lease Info'!F8 + D101*'Base Lease Info'!G8 + E101*'Base Lease Info'!H8 + F101*'Base Lease Info'!H8)</f>
        <v>133.40625</v>
      </c>
      <c r="D102" s="323"/>
      <c r="E102" s="323"/>
      <c r="F102" s="323"/>
      <c r="G102" s="324"/>
      <c r="I102" t="s">
        <v>48</v>
      </c>
    </row>
    <row r="103" spans="2:9" x14ac:dyDescent="0.2">
      <c r="B103" s="17" t="s">
        <v>19</v>
      </c>
      <c r="C103" s="325">
        <f>C102/$C93-1</f>
        <v>-0.11062499999999997</v>
      </c>
      <c r="D103" s="326"/>
      <c r="E103" s="326"/>
      <c r="F103" s="326"/>
      <c r="G103" s="327"/>
      <c r="I103" t="s">
        <v>49</v>
      </c>
    </row>
    <row r="104" spans="2:9" x14ac:dyDescent="0.2">
      <c r="B104" s="17"/>
      <c r="C104" s="8"/>
      <c r="D104" s="8"/>
      <c r="E104" s="8"/>
      <c r="F104" s="8"/>
      <c r="G104" s="73"/>
    </row>
    <row r="105" spans="2:9" x14ac:dyDescent="0.2">
      <c r="B105" s="20" t="s">
        <v>20</v>
      </c>
      <c r="C105" s="12" t="s">
        <v>22</v>
      </c>
      <c r="D105" s="12" t="s">
        <v>23</v>
      </c>
      <c r="E105" s="12" t="s">
        <v>73</v>
      </c>
      <c r="F105" s="12" t="s">
        <v>74</v>
      </c>
      <c r="G105" s="35" t="s">
        <v>76</v>
      </c>
    </row>
    <row r="106" spans="2:9" x14ac:dyDescent="0.2">
      <c r="B106" s="17" t="s">
        <v>0</v>
      </c>
      <c r="C106" s="92">
        <f>'Base Lease Info'!B57</f>
        <v>135</v>
      </c>
      <c r="D106" s="92">
        <f>'Base Lease Info'!C57</f>
        <v>40.5</v>
      </c>
      <c r="E106" s="92">
        <f>'Base Lease Info'!E57</f>
        <v>58.5</v>
      </c>
      <c r="F106" s="92">
        <f>'Base Lease Info'!D57</f>
        <v>31.5</v>
      </c>
      <c r="G106" s="108">
        <f>E106+F106</f>
        <v>90</v>
      </c>
      <c r="I106" t="s">
        <v>26</v>
      </c>
    </row>
    <row r="107" spans="2:9" x14ac:dyDescent="0.2">
      <c r="B107" s="17" t="s">
        <v>21</v>
      </c>
      <c r="C107" s="26">
        <f>'Base Lease Info'!F5</f>
        <v>3.75</v>
      </c>
      <c r="D107" s="26">
        <f>'Base Lease Info'!G5</f>
        <v>8.75</v>
      </c>
      <c r="E107" s="26">
        <f>'Base Lease Info'!H5</f>
        <v>4.75</v>
      </c>
      <c r="F107" s="26">
        <f>'Base Lease Info'!I5</f>
        <v>8.75</v>
      </c>
      <c r="G107" s="81">
        <f>E107*(E106/G106) + F107*(F106/G106)</f>
        <v>6.15</v>
      </c>
      <c r="I107" t="s">
        <v>27</v>
      </c>
    </row>
    <row r="108" spans="2:9" x14ac:dyDescent="0.2">
      <c r="B108" s="17" t="s">
        <v>5</v>
      </c>
      <c r="C108" s="3">
        <f>C106*C107</f>
        <v>506.25</v>
      </c>
      <c r="D108" s="3">
        <f>D106*D107</f>
        <v>354.375</v>
      </c>
      <c r="E108" s="3">
        <f t="shared" ref="E108:F108" si="17">E106*E107</f>
        <v>277.875</v>
      </c>
      <c r="F108" s="3">
        <f t="shared" si="17"/>
        <v>275.625</v>
      </c>
      <c r="G108" s="46">
        <f>G106*G107</f>
        <v>553.5</v>
      </c>
      <c r="I108" t="s">
        <v>41</v>
      </c>
    </row>
    <row r="109" spans="2:9" x14ac:dyDescent="0.2">
      <c r="B109" s="17" t="s">
        <v>13</v>
      </c>
      <c r="C109" s="3">
        <f>IF('Base Lease Info'!$F6='Base Lease Info'!$J$75,$C119,0)</f>
        <v>0</v>
      </c>
      <c r="D109" s="3">
        <f>IF('Base Lease Info'!$F6='Base Lease Info'!$J$75,$C119,0)</f>
        <v>0</v>
      </c>
      <c r="E109" s="3">
        <f>IF('Base Lease Info'!$F6='Base Lease Info'!$J$75,$C119,0)</f>
        <v>0</v>
      </c>
      <c r="F109" s="3">
        <f>IF('Base Lease Info'!$F6='Base Lease Info'!$J$75,$C119,0)</f>
        <v>0</v>
      </c>
      <c r="G109" s="39">
        <f>IF('Base Lease Info'!$F6='Base Lease Info'!$J$75,$C119,0)</f>
        <v>0</v>
      </c>
      <c r="I109" s="25" t="s">
        <v>63</v>
      </c>
    </row>
    <row r="110" spans="2:9" x14ac:dyDescent="0.2">
      <c r="B110" s="27" t="s">
        <v>107</v>
      </c>
      <c r="C110" s="6">
        <f>'Base Lease Info'!E80</f>
        <v>0</v>
      </c>
      <c r="D110" s="6">
        <f>'Base Lease Info'!F80</f>
        <v>0</v>
      </c>
      <c r="E110" s="6">
        <f>'Base Lease Info'!G80</f>
        <v>0</v>
      </c>
      <c r="F110" s="6">
        <f>'Base Lease Info'!H80</f>
        <v>0</v>
      </c>
      <c r="G110" s="38">
        <f>'Base Lease Info'!I80</f>
        <v>0</v>
      </c>
      <c r="I110" s="25"/>
    </row>
    <row r="111" spans="2:9" x14ac:dyDescent="0.2">
      <c r="B111" s="24" t="s">
        <v>43</v>
      </c>
      <c r="C111" s="14">
        <f>SUM(C108:C110)</f>
        <v>506.25</v>
      </c>
      <c r="D111" s="14">
        <f t="shared" ref="D111:G111" si="18">SUM(D108:D110)</f>
        <v>354.375</v>
      </c>
      <c r="E111" s="14">
        <f t="shared" si="18"/>
        <v>277.875</v>
      </c>
      <c r="F111" s="14">
        <f t="shared" si="18"/>
        <v>275.625</v>
      </c>
      <c r="G111" s="76">
        <f t="shared" si="18"/>
        <v>553.5</v>
      </c>
      <c r="I111" t="s">
        <v>42</v>
      </c>
    </row>
    <row r="112" spans="2:9" x14ac:dyDescent="0.2">
      <c r="B112" s="24"/>
      <c r="C112" s="14"/>
      <c r="D112" s="14"/>
      <c r="E112" s="14"/>
      <c r="F112" s="14"/>
      <c r="G112" s="76"/>
    </row>
    <row r="113" spans="2:9" x14ac:dyDescent="0.2">
      <c r="B113" s="40" t="s">
        <v>79</v>
      </c>
      <c r="C113" s="14"/>
      <c r="D113" s="14"/>
      <c r="E113" s="14"/>
      <c r="F113" s="14"/>
      <c r="G113" s="76"/>
    </row>
    <row r="114" spans="2:9" x14ac:dyDescent="0.2">
      <c r="B114" s="27" t="s">
        <v>81</v>
      </c>
      <c r="C114" s="95">
        <f>'Base Lease Info'!E83</f>
        <v>0.8</v>
      </c>
      <c r="D114" s="96"/>
      <c r="E114" s="96"/>
      <c r="F114" s="4"/>
      <c r="G114" s="37"/>
    </row>
    <row r="115" spans="2:9" x14ac:dyDescent="0.2">
      <c r="B115" s="27" t="s">
        <v>80</v>
      </c>
      <c r="C115" s="95">
        <f>'Base Lease Info'!E84</f>
        <v>0.5</v>
      </c>
      <c r="D115" s="95">
        <f>'Base Lease Info'!F84</f>
        <v>0.4</v>
      </c>
      <c r="E115" s="95">
        <f>'Base Lease Info'!G84</f>
        <v>9.9999999999999978E-2</v>
      </c>
      <c r="F115" s="3"/>
      <c r="G115" s="39"/>
    </row>
    <row r="116" spans="2:9" x14ac:dyDescent="0.2">
      <c r="B116" s="80" t="s">
        <v>82</v>
      </c>
      <c r="C116" s="93">
        <f>'Base Lease Info'!E85</f>
        <v>3.7</v>
      </c>
      <c r="D116" s="93">
        <f>'Base Lease Info'!F85</f>
        <v>8.4</v>
      </c>
      <c r="E116" s="93">
        <f>'Base Lease Info'!G85</f>
        <v>5.5</v>
      </c>
      <c r="F116" s="3"/>
      <c r="G116" s="39"/>
      <c r="I116" s="25" t="s">
        <v>106</v>
      </c>
    </row>
    <row r="117" spans="2:9" x14ac:dyDescent="0.2">
      <c r="B117" s="27" t="s">
        <v>83</v>
      </c>
      <c r="C117" s="97">
        <f>'Base Lease Info'!E86</f>
        <v>155</v>
      </c>
      <c r="D117" s="97">
        <f>'Base Lease Info'!F86</f>
        <v>48</v>
      </c>
      <c r="E117" s="97">
        <f>'Base Lease Info'!G86</f>
        <v>60</v>
      </c>
      <c r="F117" s="28"/>
      <c r="G117" s="77"/>
    </row>
    <row r="118" spans="2:9" x14ac:dyDescent="0.2">
      <c r="B118" s="27" t="s">
        <v>84</v>
      </c>
      <c r="C118" s="3">
        <f>IF(C107&lt;C116,(C116-C107)*C117*0.85,0)</f>
        <v>0</v>
      </c>
      <c r="D118" s="3">
        <f>IF(D107&lt;D116,(D116-D107)*D117*0.85,0)</f>
        <v>0</v>
      </c>
      <c r="E118" s="3">
        <f>IF(E107&lt;E116,(E116-E107)*E117*0.85,0)</f>
        <v>38.25</v>
      </c>
      <c r="F118" s="28"/>
      <c r="G118" s="77"/>
    </row>
    <row r="119" spans="2:9" x14ac:dyDescent="0.2">
      <c r="B119" s="27" t="s">
        <v>85</v>
      </c>
      <c r="C119" s="320">
        <f>(C118*C115+D118*D115+E118*E115)*C114</f>
        <v>3.0599999999999996</v>
      </c>
      <c r="D119" s="321"/>
      <c r="E119" s="322"/>
      <c r="F119" s="3"/>
      <c r="G119" s="39"/>
    </row>
    <row r="120" spans="2:9" x14ac:dyDescent="0.2">
      <c r="B120" s="27"/>
      <c r="C120" s="29"/>
      <c r="D120" s="3"/>
      <c r="E120" s="3"/>
      <c r="F120" s="3"/>
      <c r="G120" s="39"/>
    </row>
    <row r="121" spans="2:9" x14ac:dyDescent="0.2">
      <c r="B121" s="17"/>
      <c r="C121" s="2"/>
      <c r="D121" s="2"/>
      <c r="E121" s="2"/>
      <c r="F121" s="2"/>
      <c r="G121" s="78"/>
    </row>
    <row r="122" spans="2:9" x14ac:dyDescent="0.2">
      <c r="B122" s="16" t="s">
        <v>1</v>
      </c>
      <c r="C122" s="2"/>
      <c r="D122" s="2"/>
      <c r="E122" s="2"/>
      <c r="F122" s="2"/>
      <c r="G122" s="78"/>
    </row>
    <row r="123" spans="2:9" x14ac:dyDescent="0.2">
      <c r="B123" s="17" t="s">
        <v>2</v>
      </c>
      <c r="C123" s="3">
        <f>'Base Lease Info'!F25</f>
        <v>275</v>
      </c>
      <c r="D123" s="3">
        <f>'Base Lease Info'!G25</f>
        <v>150</v>
      </c>
      <c r="E123" s="3">
        <f>'Base Lease Info'!H25</f>
        <v>140</v>
      </c>
      <c r="F123" s="3">
        <f>'Base Lease Info'!I25</f>
        <v>150</v>
      </c>
      <c r="G123" s="39">
        <f>E123+F123</f>
        <v>290</v>
      </c>
      <c r="I123" t="s">
        <v>45</v>
      </c>
    </row>
    <row r="124" spans="2:9" x14ac:dyDescent="0.2">
      <c r="B124" s="17" t="s">
        <v>6</v>
      </c>
      <c r="C124" s="3">
        <f>'Base Lease Info'!F26</f>
        <v>140</v>
      </c>
      <c r="D124" s="3">
        <f>'Base Lease Info'!G26</f>
        <v>90</v>
      </c>
      <c r="E124" s="3">
        <f>'Base Lease Info'!H26</f>
        <v>90</v>
      </c>
      <c r="F124" s="3">
        <f>'Base Lease Info'!I26</f>
        <v>85</v>
      </c>
      <c r="G124" s="39">
        <f t="shared" ref="G124:G125" si="19">E124+F124</f>
        <v>175</v>
      </c>
      <c r="I124" t="s">
        <v>46</v>
      </c>
    </row>
    <row r="125" spans="2:9" x14ac:dyDescent="0.2">
      <c r="B125" s="17" t="s">
        <v>3</v>
      </c>
      <c r="C125" s="3">
        <f>'Base Lease Info'!F27</f>
        <v>60</v>
      </c>
      <c r="D125" s="3">
        <f>'Base Lease Info'!G27</f>
        <v>40</v>
      </c>
      <c r="E125" s="3">
        <f>'Base Lease Info'!H27</f>
        <v>40</v>
      </c>
      <c r="F125" s="3">
        <f>'Base Lease Info'!I27</f>
        <v>40</v>
      </c>
      <c r="G125" s="39">
        <f t="shared" si="19"/>
        <v>80</v>
      </c>
      <c r="I125" t="s">
        <v>47</v>
      </c>
    </row>
    <row r="126" spans="2:9" x14ac:dyDescent="0.2">
      <c r="B126" s="17" t="s">
        <v>4</v>
      </c>
      <c r="C126" s="6">
        <f>$C101</f>
        <v>135.9375</v>
      </c>
      <c r="D126" s="6">
        <f>D101</f>
        <v>136.75</v>
      </c>
      <c r="E126" s="6">
        <f t="shared" ref="E126:F126" si="20">E101</f>
        <v>62.5</v>
      </c>
      <c r="F126" s="6">
        <f t="shared" si="20"/>
        <v>71.46875</v>
      </c>
      <c r="G126" s="38">
        <f>G101</f>
        <v>125</v>
      </c>
      <c r="I126" t="s">
        <v>60</v>
      </c>
    </row>
    <row r="127" spans="2:9" x14ac:dyDescent="0.2">
      <c r="B127" s="24" t="s">
        <v>44</v>
      </c>
      <c r="C127" s="14">
        <f>SUM(C123:C126)</f>
        <v>610.9375</v>
      </c>
      <c r="D127" s="14">
        <f>SUM(D123:D126)</f>
        <v>416.75</v>
      </c>
      <c r="E127" s="14">
        <f t="shared" ref="E127" si="21">SUM(E123:E126)</f>
        <v>332.5</v>
      </c>
      <c r="F127" s="14">
        <f>SUM(F123:F126)</f>
        <v>346.46875</v>
      </c>
      <c r="G127" s="39">
        <f>SUM(G123:G126)</f>
        <v>670</v>
      </c>
      <c r="I127" t="s">
        <v>61</v>
      </c>
    </row>
    <row r="128" spans="2:9" x14ac:dyDescent="0.2">
      <c r="B128" s="17"/>
      <c r="C128" s="2"/>
      <c r="D128" s="2"/>
      <c r="E128" s="2"/>
      <c r="F128" s="2"/>
      <c r="G128" s="78"/>
    </row>
    <row r="129" spans="2:9" x14ac:dyDescent="0.2">
      <c r="B129" s="18" t="s">
        <v>8</v>
      </c>
      <c r="C129" s="3">
        <f>C111</f>
        <v>506.25</v>
      </c>
      <c r="D129" s="3">
        <f t="shared" ref="D129:G129" si="22">D111</f>
        <v>354.375</v>
      </c>
      <c r="E129" s="3">
        <f t="shared" si="22"/>
        <v>277.875</v>
      </c>
      <c r="F129" s="3">
        <f t="shared" si="22"/>
        <v>275.625</v>
      </c>
      <c r="G129" s="39">
        <f t="shared" si="22"/>
        <v>553.5</v>
      </c>
      <c r="I129" s="25" t="s">
        <v>67</v>
      </c>
    </row>
    <row r="130" spans="2:9" x14ac:dyDescent="0.2">
      <c r="B130" s="17" t="s">
        <v>9</v>
      </c>
      <c r="C130" s="5">
        <f>SUM(C123:C126)</f>
        <v>610.9375</v>
      </c>
      <c r="D130" s="5">
        <f>SUM(D123:D126)</f>
        <v>416.75</v>
      </c>
      <c r="E130" s="5">
        <f t="shared" ref="E130" si="23">SUM(E123:E126)</f>
        <v>332.5</v>
      </c>
      <c r="F130" s="5">
        <f>SUM(F123:F126)</f>
        <v>346.46875</v>
      </c>
      <c r="G130" s="39">
        <f>SUM(G123:G126)</f>
        <v>670</v>
      </c>
    </row>
    <row r="131" spans="2:9" x14ac:dyDescent="0.2">
      <c r="B131" s="21" t="s">
        <v>7</v>
      </c>
      <c r="C131" s="10">
        <f>C129-C130</f>
        <v>-104.6875</v>
      </c>
      <c r="D131" s="10">
        <f>D129-D130</f>
        <v>-62.375</v>
      </c>
      <c r="E131" s="10">
        <f>E129-E130</f>
        <v>-54.625</v>
      </c>
      <c r="F131" s="10">
        <f t="shared" ref="F131:G131" si="24">F129-F130</f>
        <v>-70.84375</v>
      </c>
      <c r="G131" s="36">
        <f t="shared" si="24"/>
        <v>-116.5</v>
      </c>
      <c r="I131" t="s">
        <v>50</v>
      </c>
    </row>
    <row r="132" spans="2:9" ht="13.5" thickBot="1" x14ac:dyDescent="0.25">
      <c r="B132" s="91" t="s">
        <v>25</v>
      </c>
      <c r="C132" s="328">
        <f>IF('Base Lease Info'!F12='Base Lease Info'!L76,C131*'Base Lease Info'!F8 + D131*'Base Lease Info'!G8 + E131*'Base Lease Info'!H8 + F131*'Base Lease Info'!H8,C131*'Base Lease Info'!F8 + D131*'Base Lease Info'!G8 + G131*'Base Lease Info'!J8)</f>
        <v>-97.0625</v>
      </c>
      <c r="D132" s="329"/>
      <c r="E132" s="329"/>
      <c r="F132" s="329"/>
      <c r="G132" s="330"/>
      <c r="I132" t="s">
        <v>51</v>
      </c>
    </row>
    <row r="133" spans="2:9" ht="13.5" thickTop="1" x14ac:dyDescent="0.2"/>
    <row r="134" spans="2:9" x14ac:dyDescent="0.2">
      <c r="B134" s="1" t="s">
        <v>59</v>
      </c>
    </row>
    <row r="136" spans="2:9" ht="13.5" thickBot="1" x14ac:dyDescent="0.25"/>
    <row r="137" spans="2:9" ht="17.25" thickTop="1" thickBot="1" x14ac:dyDescent="0.3">
      <c r="B137" s="334" t="s">
        <v>105</v>
      </c>
      <c r="C137" s="335"/>
      <c r="D137" s="335"/>
      <c r="E137" s="335"/>
      <c r="F137" s="335"/>
      <c r="G137" s="336"/>
      <c r="I137" s="7"/>
    </row>
    <row r="138" spans="2:9" ht="13.5" thickTop="1" x14ac:dyDescent="0.2">
      <c r="B138" s="68" t="s">
        <v>14</v>
      </c>
      <c r="C138" s="337"/>
      <c r="D138" s="337"/>
      <c r="E138" s="131"/>
      <c r="F138" s="131"/>
      <c r="G138" s="69"/>
      <c r="I138" s="7" t="s">
        <v>18</v>
      </c>
    </row>
    <row r="139" spans="2:9" x14ac:dyDescent="0.2">
      <c r="B139" s="17" t="s">
        <v>31</v>
      </c>
      <c r="C139" s="331">
        <f>'Base Lease Info'!F21</f>
        <v>150</v>
      </c>
      <c r="D139" s="332"/>
      <c r="E139" s="332"/>
      <c r="F139" s="332"/>
      <c r="G139" s="333"/>
      <c r="I139" s="7"/>
    </row>
    <row r="140" spans="2:9" x14ac:dyDescent="0.2">
      <c r="B140" s="17" t="s">
        <v>10</v>
      </c>
      <c r="C140" s="331">
        <f>'Base Lease Info'!F10</f>
        <v>125</v>
      </c>
      <c r="D140" s="332"/>
      <c r="E140" s="332"/>
      <c r="F140" s="332"/>
      <c r="G140" s="333"/>
      <c r="H140" s="15"/>
      <c r="I140" s="11"/>
    </row>
    <row r="141" spans="2:9" x14ac:dyDescent="0.2">
      <c r="B141" s="17" t="s">
        <v>32</v>
      </c>
      <c r="C141" s="331" t="str">
        <f>'Base Lease Info'!F11</f>
        <v>No</v>
      </c>
      <c r="D141" s="332"/>
      <c r="E141" s="332"/>
      <c r="F141" s="332"/>
      <c r="G141" s="333"/>
      <c r="H141" s="15"/>
      <c r="I141" s="11" t="s">
        <v>62</v>
      </c>
    </row>
    <row r="142" spans="2:9" x14ac:dyDescent="0.2">
      <c r="B142" s="27"/>
      <c r="C142" s="12" t="s">
        <v>22</v>
      </c>
      <c r="D142" s="12" t="s">
        <v>23</v>
      </c>
      <c r="E142" s="12" t="s">
        <v>73</v>
      </c>
      <c r="F142" s="12" t="s">
        <v>74</v>
      </c>
      <c r="G142" s="35" t="s">
        <v>76</v>
      </c>
      <c r="H142" s="15"/>
      <c r="I142" s="11"/>
    </row>
    <row r="143" spans="2:9" x14ac:dyDescent="0.2">
      <c r="B143" s="80" t="s">
        <v>12</v>
      </c>
      <c r="C143" s="31">
        <f>'Base Lease Info'!F17</f>
        <v>0.35</v>
      </c>
      <c r="D143" s="31">
        <f>'Base Lease Info'!G17</f>
        <v>0.4</v>
      </c>
      <c r="E143" s="31">
        <f>'Base Lease Info'!H17</f>
        <v>0.35</v>
      </c>
      <c r="F143" s="31">
        <f>'Base Lease Info'!I17</f>
        <v>0.35</v>
      </c>
      <c r="G143" s="71">
        <f>E143*(E149/G149) + F143*(F149/G149)</f>
        <v>0.35</v>
      </c>
      <c r="H143" s="15"/>
      <c r="I143" s="11" t="s">
        <v>39</v>
      </c>
    </row>
    <row r="144" spans="2:9" ht="15.75" x14ac:dyDescent="0.25">
      <c r="B144" s="19" t="s">
        <v>91</v>
      </c>
      <c r="C144" s="9">
        <f>IF($C$141='Base Lease Info'!$J$75,C172*C143,IF(C172*C143&gt;$C$140,C172*C143,$C$140))</f>
        <v>177.1875</v>
      </c>
      <c r="D144" s="9">
        <f>IF($C$141='Base Lease Info'!$J$75,D172*D143,IF(D172*D143&gt;$C$140,D172*D143,$C$140))</f>
        <v>141.75</v>
      </c>
      <c r="E144" s="9">
        <f>IF($C$141='Base Lease Info'!$J$75,E172*E143,IF(E172*E143&gt;$C$140/2,E172*E143,$C$140/2))</f>
        <v>97.256249999999994</v>
      </c>
      <c r="F144" s="9">
        <f>IF($C$141='Base Lease Info'!$J$75,F172*F143,IF(F172*F143&gt;$C$140/2,F172*F143,$C$140/2))</f>
        <v>96.46875</v>
      </c>
      <c r="G144" s="72">
        <f>IF($C$141='Base Lease Info'!$J$75,G172*G143,IF(G172*G143&gt;$C$140,G172*G143,$C$140))</f>
        <v>193.72499999999999</v>
      </c>
      <c r="I144" t="s">
        <v>40</v>
      </c>
    </row>
    <row r="145" spans="2:9" ht="15.75" x14ac:dyDescent="0.25">
      <c r="B145" s="19" t="s">
        <v>58</v>
      </c>
      <c r="C145" s="323">
        <f>IF('Base Lease Info'!F12='Base Lease Info'!L75,C144*'Base Lease Info'!F8 + D144*'Base Lease Info'!G8 + G144*'Base Lease Info'!J8, C144*'Base Lease Info'!F8 + D144*'Base Lease Info'!G8 + E144*'Base Lease Info'!H8 + F144*'Base Lease Info'!H8)</f>
        <v>172.46250000000001</v>
      </c>
      <c r="D145" s="323"/>
      <c r="E145" s="323"/>
      <c r="F145" s="323"/>
      <c r="G145" s="324"/>
      <c r="I145" t="s">
        <v>48</v>
      </c>
    </row>
    <row r="146" spans="2:9" x14ac:dyDescent="0.2">
      <c r="B146" s="17" t="s">
        <v>19</v>
      </c>
      <c r="C146" s="325">
        <f>C145/$C139-1</f>
        <v>0.14975000000000005</v>
      </c>
      <c r="D146" s="326"/>
      <c r="E146" s="326"/>
      <c r="F146" s="326"/>
      <c r="G146" s="327"/>
      <c r="I146" t="s">
        <v>49</v>
      </c>
    </row>
    <row r="147" spans="2:9" x14ac:dyDescent="0.2">
      <c r="B147" s="17"/>
      <c r="C147" s="8"/>
      <c r="D147" s="8"/>
      <c r="E147" s="8"/>
      <c r="F147" s="8"/>
      <c r="G147" s="73"/>
    </row>
    <row r="148" spans="2:9" x14ac:dyDescent="0.2">
      <c r="B148" s="20" t="s">
        <v>20</v>
      </c>
      <c r="C148" s="12" t="s">
        <v>22</v>
      </c>
      <c r="D148" s="12" t="s">
        <v>23</v>
      </c>
      <c r="E148" s="12" t="s">
        <v>73</v>
      </c>
      <c r="F148" s="12" t="s">
        <v>74</v>
      </c>
      <c r="G148" s="35" t="s">
        <v>76</v>
      </c>
    </row>
    <row r="149" spans="2:9" x14ac:dyDescent="0.2">
      <c r="B149" s="17" t="s">
        <v>0</v>
      </c>
      <c r="C149" s="92">
        <f>'Base Lease Info'!B57</f>
        <v>135</v>
      </c>
      <c r="D149" s="92">
        <f>'Base Lease Info'!C57</f>
        <v>40.5</v>
      </c>
      <c r="E149" s="92">
        <f>'Base Lease Info'!E57</f>
        <v>58.5</v>
      </c>
      <c r="F149" s="92">
        <f>'Base Lease Info'!D57</f>
        <v>31.5</v>
      </c>
      <c r="G149" s="74">
        <f>E149+F149</f>
        <v>90</v>
      </c>
      <c r="I149" t="s">
        <v>26</v>
      </c>
    </row>
    <row r="150" spans="2:9" x14ac:dyDescent="0.2">
      <c r="B150" s="17" t="s">
        <v>21</v>
      </c>
      <c r="C150" s="26">
        <f>'Base Lease Info'!F5</f>
        <v>3.75</v>
      </c>
      <c r="D150" s="26">
        <f>'Base Lease Info'!G5</f>
        <v>8.75</v>
      </c>
      <c r="E150" s="26">
        <f>'Base Lease Info'!H5</f>
        <v>4.75</v>
      </c>
      <c r="F150" s="26">
        <f>'Base Lease Info'!I5</f>
        <v>8.75</v>
      </c>
      <c r="G150" s="75">
        <f>E150*(E149/G149) + F150*(F149/G149)</f>
        <v>6.15</v>
      </c>
      <c r="I150" t="s">
        <v>27</v>
      </c>
    </row>
    <row r="151" spans="2:9" x14ac:dyDescent="0.2">
      <c r="B151" s="17" t="s">
        <v>5</v>
      </c>
      <c r="C151" s="3">
        <f>C149*C150</f>
        <v>506.25</v>
      </c>
      <c r="D151" s="3">
        <f>D149*D150</f>
        <v>354.375</v>
      </c>
      <c r="E151" s="3">
        <f t="shared" ref="E151:F151" si="25">E149*E150</f>
        <v>277.875</v>
      </c>
      <c r="F151" s="3">
        <f t="shared" si="25"/>
        <v>275.625</v>
      </c>
      <c r="G151" s="46">
        <f>G149*G150</f>
        <v>553.5</v>
      </c>
      <c r="I151" t="s">
        <v>41</v>
      </c>
    </row>
    <row r="152" spans="2:9" x14ac:dyDescent="0.2">
      <c r="B152" s="17" t="s">
        <v>13</v>
      </c>
      <c r="C152" s="3">
        <f>IF('Base Lease Info'!$F6='Base Lease Info'!$J$75,$C162,0)</f>
        <v>0</v>
      </c>
      <c r="D152" s="3">
        <f>IF('Base Lease Info'!$F6='Base Lease Info'!$J$75,$C162,0)</f>
        <v>0</v>
      </c>
      <c r="E152" s="3">
        <f>IF('Base Lease Info'!$F6='Base Lease Info'!$J$75,$C162,0)</f>
        <v>0</v>
      </c>
      <c r="F152" s="3">
        <f>IF('Base Lease Info'!$F6='Base Lease Info'!$J$75,$C162,0)</f>
        <v>0</v>
      </c>
      <c r="G152" s="39">
        <f>IF('Base Lease Info'!$F6='Base Lease Info'!$J$75,$C162,0)</f>
        <v>0</v>
      </c>
      <c r="I152" s="25" t="s">
        <v>63</v>
      </c>
    </row>
    <row r="153" spans="2:9" x14ac:dyDescent="0.2">
      <c r="B153" s="27" t="s">
        <v>107</v>
      </c>
      <c r="C153" s="6">
        <f>'Base Lease Info'!E80</f>
        <v>0</v>
      </c>
      <c r="D153" s="6">
        <f>'Base Lease Info'!F80</f>
        <v>0</v>
      </c>
      <c r="E153" s="6">
        <f>'Base Lease Info'!G80</f>
        <v>0</v>
      </c>
      <c r="F153" s="6">
        <f>'Base Lease Info'!H80</f>
        <v>0</v>
      </c>
      <c r="G153" s="38">
        <f>'Base Lease Info'!I80</f>
        <v>0</v>
      </c>
      <c r="I153" s="25"/>
    </row>
    <row r="154" spans="2:9" x14ac:dyDescent="0.2">
      <c r="B154" s="24" t="s">
        <v>43</v>
      </c>
      <c r="C154" s="14">
        <f>SUM(C151:C153)</f>
        <v>506.25</v>
      </c>
      <c r="D154" s="14">
        <f t="shared" ref="D154:G154" si="26">SUM(D151:D153)</f>
        <v>354.375</v>
      </c>
      <c r="E154" s="14">
        <f t="shared" si="26"/>
        <v>277.875</v>
      </c>
      <c r="F154" s="14">
        <f t="shared" si="26"/>
        <v>275.625</v>
      </c>
      <c r="G154" s="76">
        <f t="shared" si="26"/>
        <v>553.5</v>
      </c>
      <c r="I154" t="s">
        <v>42</v>
      </c>
    </row>
    <row r="155" spans="2:9" x14ac:dyDescent="0.2">
      <c r="B155" s="24"/>
      <c r="C155" s="14"/>
      <c r="D155" s="14"/>
      <c r="E155" s="14"/>
      <c r="F155" s="14"/>
      <c r="G155" s="76"/>
    </row>
    <row r="156" spans="2:9" x14ac:dyDescent="0.2">
      <c r="B156" s="40" t="s">
        <v>79</v>
      </c>
      <c r="C156" s="14"/>
      <c r="D156" s="14"/>
      <c r="E156" s="14"/>
      <c r="F156" s="14"/>
      <c r="G156" s="76"/>
    </row>
    <row r="157" spans="2:9" x14ac:dyDescent="0.2">
      <c r="B157" s="27" t="s">
        <v>81</v>
      </c>
      <c r="C157" s="95">
        <f>'Base Lease Info'!E83</f>
        <v>0.8</v>
      </c>
      <c r="D157" s="96"/>
      <c r="E157" s="96"/>
      <c r="F157" s="4"/>
      <c r="G157" s="37"/>
    </row>
    <row r="158" spans="2:9" x14ac:dyDescent="0.2">
      <c r="B158" s="27" t="s">
        <v>80</v>
      </c>
      <c r="C158" s="95">
        <f>'Base Lease Info'!E84</f>
        <v>0.5</v>
      </c>
      <c r="D158" s="95">
        <f>'Base Lease Info'!F84</f>
        <v>0.4</v>
      </c>
      <c r="E158" s="95">
        <f>'Base Lease Info'!G84</f>
        <v>9.9999999999999978E-2</v>
      </c>
      <c r="F158" s="3"/>
      <c r="G158" s="39"/>
    </row>
    <row r="159" spans="2:9" x14ac:dyDescent="0.2">
      <c r="B159" s="27" t="s">
        <v>82</v>
      </c>
      <c r="C159" s="93">
        <f>'Base Lease Info'!E85</f>
        <v>3.7</v>
      </c>
      <c r="D159" s="93">
        <f>'Base Lease Info'!F85</f>
        <v>8.4</v>
      </c>
      <c r="E159" s="93">
        <f>'Base Lease Info'!G85</f>
        <v>5.5</v>
      </c>
      <c r="F159" s="3"/>
      <c r="G159" s="39"/>
    </row>
    <row r="160" spans="2:9" x14ac:dyDescent="0.2">
      <c r="B160" s="27" t="s">
        <v>83</v>
      </c>
      <c r="C160" s="97">
        <f>'Base Lease Info'!E86</f>
        <v>155</v>
      </c>
      <c r="D160" s="97">
        <f>'Base Lease Info'!F86</f>
        <v>48</v>
      </c>
      <c r="E160" s="97">
        <f>'Base Lease Info'!G86</f>
        <v>60</v>
      </c>
      <c r="F160" s="28"/>
      <c r="G160" s="77"/>
    </row>
    <row r="161" spans="2:9" x14ac:dyDescent="0.2">
      <c r="B161" s="27" t="s">
        <v>84</v>
      </c>
      <c r="C161" s="3">
        <f>IF(C150&lt;C159,(C159-C150)*C160*0.85,0)</f>
        <v>0</v>
      </c>
      <c r="D161" s="3">
        <f t="shared" ref="D161:E161" si="27">IF(D150&lt;D159,(D159-D150)*D160*0.85,0)</f>
        <v>0</v>
      </c>
      <c r="E161" s="3">
        <f t="shared" si="27"/>
        <v>38.25</v>
      </c>
      <c r="F161" s="28"/>
      <c r="G161" s="77"/>
    </row>
    <row r="162" spans="2:9" x14ac:dyDescent="0.2">
      <c r="B162" s="27" t="s">
        <v>85</v>
      </c>
      <c r="C162" s="320">
        <f>(C161*C158+D161*D158+E161*E158)*C157</f>
        <v>3.0599999999999996</v>
      </c>
      <c r="D162" s="321"/>
      <c r="E162" s="322"/>
      <c r="F162" s="3"/>
      <c r="G162" s="39"/>
    </row>
    <row r="163" spans="2:9" x14ac:dyDescent="0.2">
      <c r="B163" s="27"/>
      <c r="C163" s="29"/>
      <c r="D163" s="3"/>
      <c r="E163" s="3"/>
      <c r="F163" s="3"/>
      <c r="G163" s="39"/>
    </row>
    <row r="164" spans="2:9" x14ac:dyDescent="0.2">
      <c r="B164" s="17"/>
      <c r="C164" s="2"/>
      <c r="D164" s="2"/>
      <c r="E164" s="2"/>
      <c r="F164" s="2"/>
      <c r="G164" s="78"/>
    </row>
    <row r="165" spans="2:9" x14ac:dyDescent="0.2">
      <c r="B165" s="16" t="s">
        <v>1</v>
      </c>
      <c r="C165" s="2"/>
      <c r="D165" s="2"/>
      <c r="E165" s="2"/>
      <c r="F165" s="2"/>
      <c r="G165" s="78"/>
    </row>
    <row r="166" spans="2:9" x14ac:dyDescent="0.2">
      <c r="B166" s="17" t="s">
        <v>2</v>
      </c>
      <c r="C166" s="3">
        <f>'Base Lease Info'!F25</f>
        <v>275</v>
      </c>
      <c r="D166" s="3">
        <f>'Base Lease Info'!G25</f>
        <v>150</v>
      </c>
      <c r="E166" s="3">
        <f>'Base Lease Info'!H25</f>
        <v>140</v>
      </c>
      <c r="F166" s="3">
        <f>'Base Lease Info'!I25</f>
        <v>150</v>
      </c>
      <c r="G166" s="39">
        <f>E166+F166</f>
        <v>290</v>
      </c>
      <c r="I166" t="s">
        <v>45</v>
      </c>
    </row>
    <row r="167" spans="2:9" x14ac:dyDescent="0.2">
      <c r="B167" s="17" t="s">
        <v>6</v>
      </c>
      <c r="C167" s="3">
        <f>'Base Lease Info'!F26</f>
        <v>140</v>
      </c>
      <c r="D167" s="3">
        <f>'Base Lease Info'!G26</f>
        <v>90</v>
      </c>
      <c r="E167" s="3">
        <f>'Base Lease Info'!H26</f>
        <v>90</v>
      </c>
      <c r="F167" s="3">
        <f>'Base Lease Info'!I26</f>
        <v>85</v>
      </c>
      <c r="G167" s="39">
        <f t="shared" ref="G167:G168" si="28">E167+F167</f>
        <v>175</v>
      </c>
      <c r="I167" t="s">
        <v>46</v>
      </c>
    </row>
    <row r="168" spans="2:9" x14ac:dyDescent="0.2">
      <c r="B168" s="17" t="s">
        <v>3</v>
      </c>
      <c r="C168" s="3">
        <f>'Base Lease Info'!F27</f>
        <v>60</v>
      </c>
      <c r="D168" s="3">
        <f>'Base Lease Info'!G27</f>
        <v>40</v>
      </c>
      <c r="E168" s="3">
        <f>'Base Lease Info'!H27</f>
        <v>40</v>
      </c>
      <c r="F168" s="3">
        <f>'Base Lease Info'!I27</f>
        <v>40</v>
      </c>
      <c r="G168" s="39">
        <f t="shared" si="28"/>
        <v>80</v>
      </c>
      <c r="I168" t="s">
        <v>47</v>
      </c>
    </row>
    <row r="169" spans="2:9" x14ac:dyDescent="0.2">
      <c r="B169" s="18" t="s">
        <v>4</v>
      </c>
      <c r="C169" s="6">
        <f>$C144</f>
        <v>177.1875</v>
      </c>
      <c r="D169" s="6">
        <f>D144</f>
        <v>141.75</v>
      </c>
      <c r="E169" s="6">
        <f>E144</f>
        <v>97.256249999999994</v>
      </c>
      <c r="F169" s="6">
        <f>F144</f>
        <v>96.46875</v>
      </c>
      <c r="G169" s="38">
        <f>G144</f>
        <v>193.72499999999999</v>
      </c>
      <c r="I169" t="s">
        <v>60</v>
      </c>
    </row>
    <row r="170" spans="2:9" x14ac:dyDescent="0.2">
      <c r="B170" s="24" t="s">
        <v>44</v>
      </c>
      <c r="C170" s="14">
        <f>SUM(C166:C169)</f>
        <v>652.1875</v>
      </c>
      <c r="D170" s="14">
        <f>SUM(D166:D169)</f>
        <v>421.75</v>
      </c>
      <c r="E170" s="14">
        <f t="shared" ref="E170" si="29">SUM(E166:E169)</f>
        <v>367.25625000000002</v>
      </c>
      <c r="F170" s="14">
        <f>SUM(F166:F169)</f>
        <v>371.46875</v>
      </c>
      <c r="G170" s="39">
        <f>SUM(G166:G169)</f>
        <v>738.72500000000002</v>
      </c>
      <c r="I170" t="s">
        <v>61</v>
      </c>
    </row>
    <row r="171" spans="2:9" x14ac:dyDescent="0.2">
      <c r="B171" s="17"/>
      <c r="C171" s="2"/>
      <c r="D171" s="2"/>
      <c r="E171" s="2"/>
      <c r="F171" s="2"/>
      <c r="G171" s="78"/>
    </row>
    <row r="172" spans="2:9" x14ac:dyDescent="0.2">
      <c r="B172" s="17" t="s">
        <v>8</v>
      </c>
      <c r="C172" s="3">
        <f>C154</f>
        <v>506.25</v>
      </c>
      <c r="D172" s="3">
        <f t="shared" ref="D172:G172" si="30">D154</f>
        <v>354.375</v>
      </c>
      <c r="E172" s="3">
        <f t="shared" si="30"/>
        <v>277.875</v>
      </c>
      <c r="F172" s="3">
        <f t="shared" si="30"/>
        <v>275.625</v>
      </c>
      <c r="G172" s="39">
        <f t="shared" si="30"/>
        <v>553.5</v>
      </c>
      <c r="I172" s="25" t="s">
        <v>67</v>
      </c>
    </row>
    <row r="173" spans="2:9" x14ac:dyDescent="0.2">
      <c r="B173" s="17" t="s">
        <v>9</v>
      </c>
      <c r="C173" s="5">
        <f>SUM(C166:C169)</f>
        <v>652.1875</v>
      </c>
      <c r="D173" s="5">
        <f t="shared" ref="D173:G173" si="31">SUM(D166:D169)</f>
        <v>421.75</v>
      </c>
      <c r="E173" s="5">
        <f t="shared" si="31"/>
        <v>367.25625000000002</v>
      </c>
      <c r="F173" s="5">
        <f t="shared" si="31"/>
        <v>371.46875</v>
      </c>
      <c r="G173" s="85">
        <f t="shared" si="31"/>
        <v>738.72500000000002</v>
      </c>
    </row>
    <row r="174" spans="2:9" x14ac:dyDescent="0.2">
      <c r="B174" s="21" t="s">
        <v>7</v>
      </c>
      <c r="C174" s="10">
        <f>C172-C173</f>
        <v>-145.9375</v>
      </c>
      <c r="D174" s="10">
        <f>D172-D173</f>
        <v>-67.375</v>
      </c>
      <c r="E174" s="10">
        <f>E172-E173</f>
        <v>-89.381250000000023</v>
      </c>
      <c r="F174" s="10">
        <f t="shared" ref="F174:G174" si="32">F172-F173</f>
        <v>-95.84375</v>
      </c>
      <c r="G174" s="36">
        <f t="shared" si="32"/>
        <v>-185.22500000000002</v>
      </c>
      <c r="I174" t="s">
        <v>50</v>
      </c>
    </row>
    <row r="175" spans="2:9" ht="13.5" thickBot="1" x14ac:dyDescent="0.25">
      <c r="B175" s="22" t="s">
        <v>25</v>
      </c>
      <c r="C175" s="328">
        <f>IF('Base Lease Info'!F12='Base Lease Info'!L76,C174*'Base Lease Info'!F8 + D174*'Base Lease Info'!G8 + E174*'Base Lease Info'!H8 + F174*'Base Lease Info'!H8,C174*'Base Lease Info'!F8 + D174*'Base Lease Info'!G8 + G174*'Base Lease Info'!J8)</f>
        <v>-136.11875000000001</v>
      </c>
      <c r="D175" s="329"/>
      <c r="E175" s="329"/>
      <c r="F175" s="329"/>
      <c r="G175" s="330"/>
      <c r="I175" t="s">
        <v>51</v>
      </c>
    </row>
    <row r="176" spans="2:9" ht="13.5" thickTop="1" x14ac:dyDescent="0.2"/>
    <row r="177" spans="2:2" x14ac:dyDescent="0.2">
      <c r="B177" s="1" t="s">
        <v>59</v>
      </c>
    </row>
  </sheetData>
  <mergeCells count="36">
    <mergeCell ref="C50:G50"/>
    <mergeCell ref="B2:G2"/>
    <mergeCell ref="C3:D3"/>
    <mergeCell ref="C4:G4"/>
    <mergeCell ref="C5:G5"/>
    <mergeCell ref="C6:G6"/>
    <mergeCell ref="C13:G13"/>
    <mergeCell ref="C14:G14"/>
    <mergeCell ref="C30:E30"/>
    <mergeCell ref="C43:G43"/>
    <mergeCell ref="B48:G48"/>
    <mergeCell ref="C49:D49"/>
    <mergeCell ref="C102:G102"/>
    <mergeCell ref="C51:G51"/>
    <mergeCell ref="C52:G52"/>
    <mergeCell ref="C56:G56"/>
    <mergeCell ref="C57:G57"/>
    <mergeCell ref="C73:E73"/>
    <mergeCell ref="C86:G86"/>
    <mergeCell ref="B91:G91"/>
    <mergeCell ref="C92:D92"/>
    <mergeCell ref="C93:G93"/>
    <mergeCell ref="C94:G94"/>
    <mergeCell ref="C95:G95"/>
    <mergeCell ref="C175:G175"/>
    <mergeCell ref="C103:G103"/>
    <mergeCell ref="C119:E119"/>
    <mergeCell ref="C132:G132"/>
    <mergeCell ref="B137:G137"/>
    <mergeCell ref="C138:D138"/>
    <mergeCell ref="C139:G139"/>
    <mergeCell ref="C140:G140"/>
    <mergeCell ref="C141:G141"/>
    <mergeCell ref="C145:G145"/>
    <mergeCell ref="C146:G146"/>
    <mergeCell ref="C162:E162"/>
  </mergeCells>
  <pageMargins left="0.75" right="0.75" top="1" bottom="1" header="0.5" footer="0.5"/>
  <pageSetup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77"/>
  <sheetViews>
    <sheetView showGridLines="0" zoomScale="115" zoomScaleNormal="115" workbookViewId="0">
      <selection activeCell="F150" sqref="F150"/>
    </sheetView>
  </sheetViews>
  <sheetFormatPr defaultRowHeight="12.75" x14ac:dyDescent="0.2"/>
  <cols>
    <col min="1" max="1" width="2.42578125" customWidth="1"/>
    <col min="2" max="2" width="38.85546875" customWidth="1"/>
    <col min="3" max="3" width="12.140625" bestFit="1" customWidth="1"/>
    <col min="4" max="7" width="9.7109375" customWidth="1"/>
    <col min="8" max="8" width="3.42578125" customWidth="1"/>
    <col min="9" max="9" width="59.28515625" customWidth="1"/>
  </cols>
  <sheetData>
    <row r="1" spans="2:10" ht="13.5" thickBot="1" x14ac:dyDescent="0.25"/>
    <row r="2" spans="2:10" ht="17.25" thickTop="1" thickBot="1" x14ac:dyDescent="0.3">
      <c r="B2" s="334" t="s">
        <v>102</v>
      </c>
      <c r="C2" s="335"/>
      <c r="D2" s="335"/>
      <c r="E2" s="335"/>
      <c r="F2" s="335"/>
      <c r="G2" s="336"/>
      <c r="I2" s="7"/>
    </row>
    <row r="3" spans="2:10" ht="13.5" thickTop="1" x14ac:dyDescent="0.2">
      <c r="B3" s="68" t="s">
        <v>14</v>
      </c>
      <c r="C3" s="337"/>
      <c r="D3" s="337"/>
      <c r="E3" s="131"/>
      <c r="F3" s="131"/>
      <c r="G3" s="69"/>
      <c r="I3" s="7" t="s">
        <v>18</v>
      </c>
    </row>
    <row r="4" spans="2:10" x14ac:dyDescent="0.2">
      <c r="B4" s="17" t="s">
        <v>31</v>
      </c>
      <c r="C4" s="331">
        <f>'Base Lease Info'!F21</f>
        <v>150</v>
      </c>
      <c r="D4" s="332"/>
      <c r="E4" s="332"/>
      <c r="F4" s="332"/>
      <c r="G4" s="333"/>
      <c r="I4" s="7"/>
    </row>
    <row r="5" spans="2:10" x14ac:dyDescent="0.2">
      <c r="B5" s="17" t="s">
        <v>10</v>
      </c>
      <c r="C5" s="338">
        <f>'Base Lease Info'!F10</f>
        <v>125</v>
      </c>
      <c r="D5" s="339"/>
      <c r="E5" s="339"/>
      <c r="F5" s="339"/>
      <c r="G5" s="340"/>
      <c r="H5" s="15"/>
      <c r="I5" s="11"/>
    </row>
    <row r="6" spans="2:10" x14ac:dyDescent="0.2">
      <c r="B6" s="17" t="s">
        <v>32</v>
      </c>
      <c r="C6" s="331" t="str">
        <f>'Base Lease Info'!F11</f>
        <v>No</v>
      </c>
      <c r="D6" s="332"/>
      <c r="E6" s="332"/>
      <c r="F6" s="332"/>
      <c r="G6" s="333"/>
      <c r="H6" s="15"/>
      <c r="I6" s="11" t="s">
        <v>62</v>
      </c>
    </row>
    <row r="7" spans="2:10" x14ac:dyDescent="0.2">
      <c r="B7" s="17"/>
      <c r="C7" s="12" t="s">
        <v>22</v>
      </c>
      <c r="D7" s="12" t="s">
        <v>23</v>
      </c>
      <c r="E7" s="12" t="s">
        <v>73</v>
      </c>
      <c r="F7" s="12" t="s">
        <v>74</v>
      </c>
      <c r="G7" s="35" t="s">
        <v>76</v>
      </c>
      <c r="H7" s="15"/>
      <c r="I7" s="11"/>
    </row>
    <row r="8" spans="2:10" x14ac:dyDescent="0.2">
      <c r="B8" s="17" t="s">
        <v>28</v>
      </c>
      <c r="C8" s="13">
        <f>SUM('Base Lease Info'!F25:F27) + $C5</f>
        <v>600</v>
      </c>
      <c r="D8" s="13">
        <f>SUM('Base Lease Info'!G25:G27) + $C5</f>
        <v>405</v>
      </c>
      <c r="E8" s="13">
        <f>SUM('Base Lease Info'!H25:H27) + $C5</f>
        <v>395</v>
      </c>
      <c r="F8" s="13">
        <f>SUM('Base Lease Info'!I25:I27) + $C5</f>
        <v>400</v>
      </c>
      <c r="G8" s="70">
        <f>E8+F8</f>
        <v>795</v>
      </c>
      <c r="H8" s="15"/>
      <c r="I8" s="11" t="s">
        <v>54</v>
      </c>
    </row>
    <row r="9" spans="2:10" x14ac:dyDescent="0.2">
      <c r="B9" s="17" t="s">
        <v>11</v>
      </c>
      <c r="C9" s="30">
        <f>'Base Lease Info'!F16</f>
        <v>475</v>
      </c>
      <c r="D9" s="30">
        <f>'Base Lease Info'!G16</f>
        <v>325</v>
      </c>
      <c r="E9" s="30">
        <f>'Base Lease Info'!H16</f>
        <v>325</v>
      </c>
      <c r="F9" s="30">
        <f>'Base Lease Info'!I16</f>
        <v>250</v>
      </c>
      <c r="G9" s="70">
        <f>E9+F9</f>
        <v>575</v>
      </c>
      <c r="I9" s="11" t="s">
        <v>38</v>
      </c>
      <c r="J9" s="1"/>
    </row>
    <row r="10" spans="2:10" x14ac:dyDescent="0.2">
      <c r="B10" s="18" t="s">
        <v>12</v>
      </c>
      <c r="C10" s="31">
        <f>'Base Lease Info'!F17</f>
        <v>0.35</v>
      </c>
      <c r="D10" s="31">
        <f>'Base Lease Info'!G17</f>
        <v>0.4</v>
      </c>
      <c r="E10" s="31">
        <f>'Base Lease Info'!H17</f>
        <v>0.35</v>
      </c>
      <c r="F10" s="31">
        <f>'Base Lease Info'!I17</f>
        <v>0.35</v>
      </c>
      <c r="G10" s="71">
        <f>E10*(E17/G17) + F10*(F17/G17)</f>
        <v>0.35</v>
      </c>
      <c r="H10" s="15"/>
      <c r="I10" s="11" t="s">
        <v>39</v>
      </c>
    </row>
    <row r="11" spans="2:10" x14ac:dyDescent="0.2">
      <c r="B11" s="18" t="s">
        <v>55</v>
      </c>
      <c r="C11" s="10">
        <f>IF($C6='Base Lease Info'!$J$75,(C19+C20-C9)*C10,IF((C19 + C20) &gt; C9,(C19+C20-C9)*C10,0))</f>
        <v>4.375</v>
      </c>
      <c r="D11" s="10">
        <f>IF($C6='Base Lease Info'!$J$75,(D19+D20-D9)*D10,IF((D19 + D20) &gt; D9,(D19+D20-D9)*D10,0))</f>
        <v>6.5</v>
      </c>
      <c r="E11" s="10">
        <f>IF($C6='Base Lease Info'!$J$75,(E19+E20-E9)*E10,IF((E19 + E20) &gt; E9,(E19+E20-E9)*E10,0))</f>
        <v>0</v>
      </c>
      <c r="F11" s="10">
        <f>IF($C6='Base Lease Info'!$J$75,(F19+F20-F9)*F10,IF((F19 + F20) &gt; F9,(F19+F20-F9)*F10,0))</f>
        <v>5.3958333333333393</v>
      </c>
      <c r="G11" s="36">
        <f>IF($C6='Base Lease Info'!$J$75,(G19+G20-G9)*G10,IF((G19 + G20) &gt; G9,(G19+G20-G9)*G10,0))</f>
        <v>0</v>
      </c>
      <c r="H11" s="15"/>
      <c r="I11" s="11" t="s">
        <v>57</v>
      </c>
    </row>
    <row r="12" spans="2:10" ht="15.75" x14ac:dyDescent="0.25">
      <c r="B12" s="19" t="s">
        <v>56</v>
      </c>
      <c r="C12" s="9">
        <f>IF($C6='Base Lease Info'!$J$75,$C5+(C19+C20-C9)*C10,IF((C19 + C20) &gt; C9,$C5+(C19+C20-C9)*C10,$C5))</f>
        <v>129.375</v>
      </c>
      <c r="D12" s="9">
        <f>IF($C6='Base Lease Info'!$J$75,$C5+(D19+D20-D9)*D10,IF((D19 + D20) &gt; D9,$C5+(D19+D20-D9)*D10,$C5))</f>
        <v>131.5</v>
      </c>
      <c r="E12" s="9">
        <f>IF($C6='Base Lease Info'!$J$75,$C5/2+(E19+E20-E9)*E10,IF((E19 + E20) &gt; E9,$C5/2+(E19+E20-E9)*E10,$C5/2))</f>
        <v>62.5</v>
      </c>
      <c r="F12" s="9">
        <f>IF($C6='Base Lease Info'!$J$75,$C5/2+(F19+F20-F9)*F10,IF((F19 + F20) &gt; F9,$C5/2+(F19+F20-F9)*F10,$C5/2))</f>
        <v>67.895833333333343</v>
      </c>
      <c r="G12" s="72">
        <f>IF($C6='Base Lease Info'!$J$75,$C5+(G19+G20-G9)*G10,IF((G19 + G20) &gt; G9,$C5+(G19+G20-G9)*G10,$C5))</f>
        <v>125</v>
      </c>
      <c r="I12" t="s">
        <v>40</v>
      </c>
    </row>
    <row r="13" spans="2:10" ht="15.75" x14ac:dyDescent="0.25">
      <c r="B13" s="19" t="s">
        <v>58</v>
      </c>
      <c r="C13" s="323">
        <f>IF('Base Lease Info'!F12='Base Lease Info'!L75,C12*'Base Lease Info'!F8 + D12*'Base Lease Info'!G8 + G12*'Base Lease Info'!J8, C12*'Base Lease Info'!F8 + D12*'Base Lease Info'!G8 + E12*'Base Lease Info'!H8 + F12*'Base Lease Info'!H8)</f>
        <v>128.8125</v>
      </c>
      <c r="D13" s="323"/>
      <c r="E13" s="323"/>
      <c r="F13" s="323"/>
      <c r="G13" s="324"/>
      <c r="I13" t="s">
        <v>48</v>
      </c>
    </row>
    <row r="14" spans="2:10" x14ac:dyDescent="0.2">
      <c r="B14" s="17" t="s">
        <v>19</v>
      </c>
      <c r="C14" s="325">
        <f>C13/$C4-1</f>
        <v>-0.14124999999999999</v>
      </c>
      <c r="D14" s="326"/>
      <c r="E14" s="326"/>
      <c r="F14" s="326"/>
      <c r="G14" s="327"/>
      <c r="I14" t="s">
        <v>49</v>
      </c>
    </row>
    <row r="15" spans="2:10" x14ac:dyDescent="0.2">
      <c r="B15" s="17"/>
      <c r="C15" s="8"/>
      <c r="D15" s="8"/>
      <c r="E15" s="8"/>
      <c r="F15" s="8"/>
      <c r="G15" s="73"/>
    </row>
    <row r="16" spans="2:10" x14ac:dyDescent="0.2">
      <c r="B16" s="20" t="s">
        <v>20</v>
      </c>
      <c r="C16" s="12" t="s">
        <v>22</v>
      </c>
      <c r="D16" s="12" t="s">
        <v>23</v>
      </c>
      <c r="E16" s="12" t="s">
        <v>73</v>
      </c>
      <c r="F16" s="12" t="s">
        <v>74</v>
      </c>
      <c r="G16" s="35" t="s">
        <v>76</v>
      </c>
    </row>
    <row r="17" spans="2:9" x14ac:dyDescent="0.2">
      <c r="B17" s="17" t="s">
        <v>0</v>
      </c>
      <c r="C17" s="32">
        <f>'Base Lease Info'!F4</f>
        <v>150</v>
      </c>
      <c r="D17" s="32">
        <f>'Base Lease Info'!G4</f>
        <v>45</v>
      </c>
      <c r="E17" s="32">
        <f>'Base Lease Info'!H4</f>
        <v>65</v>
      </c>
      <c r="F17" s="32">
        <f>'Base Lease Info'!I4</f>
        <v>35</v>
      </c>
      <c r="G17" s="74">
        <f>E17+F17</f>
        <v>100</v>
      </c>
      <c r="I17" t="s">
        <v>26</v>
      </c>
    </row>
    <row r="18" spans="2:9" x14ac:dyDescent="0.2">
      <c r="B18" s="17" t="s">
        <v>21</v>
      </c>
      <c r="C18" s="89">
        <f>'Base Lease Info'!B43</f>
        <v>3.25</v>
      </c>
      <c r="D18" s="89">
        <f>'Base Lease Info'!C43</f>
        <v>7.5833333333333339</v>
      </c>
      <c r="E18" s="89">
        <f>'Base Lease Info'!E43</f>
        <v>4.1166666666666663</v>
      </c>
      <c r="F18" s="26">
        <f>D18</f>
        <v>7.5833333333333339</v>
      </c>
      <c r="G18" s="81">
        <f>E18*(E17/G17) + F18*(F17/G17)</f>
        <v>5.33</v>
      </c>
      <c r="I18" t="s">
        <v>27</v>
      </c>
    </row>
    <row r="19" spans="2:9" x14ac:dyDescent="0.2">
      <c r="B19" s="17" t="s">
        <v>5</v>
      </c>
      <c r="C19" s="3">
        <f>C17*C18</f>
        <v>487.5</v>
      </c>
      <c r="D19" s="3">
        <f>D17*D18</f>
        <v>341.25</v>
      </c>
      <c r="E19" s="3">
        <f t="shared" ref="E19:F19" si="0">E17*E18</f>
        <v>267.58333333333331</v>
      </c>
      <c r="F19" s="3">
        <f t="shared" si="0"/>
        <v>265.41666666666669</v>
      </c>
      <c r="G19" s="46">
        <f>G17*G18</f>
        <v>533</v>
      </c>
      <c r="I19" t="s">
        <v>41</v>
      </c>
    </row>
    <row r="20" spans="2:9" x14ac:dyDescent="0.2">
      <c r="B20" s="17" t="s">
        <v>13</v>
      </c>
      <c r="C20" s="3">
        <f>IF('Base Lease Info'!$F6='Base Lease Info'!$J$75,$C30,0)</f>
        <v>0</v>
      </c>
      <c r="D20" s="3">
        <f>IF('Base Lease Info'!$F6='Base Lease Info'!$J$75,$C30,0)</f>
        <v>0</v>
      </c>
      <c r="E20" s="3">
        <f>IF('Base Lease Info'!$F6='Base Lease Info'!$J$75,$C30,0)</f>
        <v>0</v>
      </c>
      <c r="F20" s="3">
        <f>IF('Base Lease Info'!$F6='Base Lease Info'!$J$75,$C30,0)</f>
        <v>0</v>
      </c>
      <c r="G20" s="39">
        <f>IF('Base Lease Info'!$F6='Base Lease Info'!$J$75,$C30,0)</f>
        <v>0</v>
      </c>
      <c r="I20" s="25" t="s">
        <v>63</v>
      </c>
    </row>
    <row r="21" spans="2:9" x14ac:dyDescent="0.2">
      <c r="B21" s="27" t="s">
        <v>107</v>
      </c>
      <c r="C21" s="6">
        <f>'Base Lease Info'!E80</f>
        <v>0</v>
      </c>
      <c r="D21" s="6">
        <f>'Base Lease Info'!F80</f>
        <v>0</v>
      </c>
      <c r="E21" s="6">
        <f>'Base Lease Info'!G80</f>
        <v>0</v>
      </c>
      <c r="F21" s="6">
        <f>'Base Lease Info'!H80</f>
        <v>0</v>
      </c>
      <c r="G21" s="38">
        <f>'Base Lease Info'!I80</f>
        <v>0</v>
      </c>
      <c r="I21" s="25"/>
    </row>
    <row r="22" spans="2:9" x14ac:dyDescent="0.2">
      <c r="B22" s="24" t="s">
        <v>43</v>
      </c>
      <c r="C22" s="14">
        <f>SUM(C19:C21)</f>
        <v>487.5</v>
      </c>
      <c r="D22" s="14">
        <f t="shared" ref="D22:G22" si="1">SUM(D19:D21)</f>
        <v>341.25</v>
      </c>
      <c r="E22" s="14">
        <f t="shared" si="1"/>
        <v>267.58333333333331</v>
      </c>
      <c r="F22" s="14">
        <f t="shared" si="1"/>
        <v>265.41666666666669</v>
      </c>
      <c r="G22" s="76">
        <f t="shared" si="1"/>
        <v>533</v>
      </c>
      <c r="I22" t="s">
        <v>42</v>
      </c>
    </row>
    <row r="23" spans="2:9" x14ac:dyDescent="0.2">
      <c r="B23" s="24"/>
      <c r="C23" s="14"/>
      <c r="D23" s="14"/>
      <c r="E23" s="14"/>
      <c r="F23" s="14"/>
      <c r="G23" s="76"/>
    </row>
    <row r="24" spans="2:9" x14ac:dyDescent="0.2">
      <c r="B24" s="40" t="s">
        <v>79</v>
      </c>
      <c r="C24" s="14"/>
      <c r="D24" s="14"/>
      <c r="E24" s="14"/>
      <c r="F24" s="14"/>
      <c r="G24" s="76"/>
    </row>
    <row r="25" spans="2:9" x14ac:dyDescent="0.2">
      <c r="B25" s="27" t="s">
        <v>81</v>
      </c>
      <c r="C25" s="95">
        <f>'Base Lease Info'!E83</f>
        <v>0.8</v>
      </c>
      <c r="D25" s="96"/>
      <c r="E25" s="96"/>
      <c r="F25" s="4"/>
      <c r="G25" s="37"/>
    </row>
    <row r="26" spans="2:9" x14ac:dyDescent="0.2">
      <c r="B26" s="27" t="s">
        <v>80</v>
      </c>
      <c r="C26" s="95">
        <f>'Base Lease Info'!E84</f>
        <v>0.5</v>
      </c>
      <c r="D26" s="95">
        <f>'Base Lease Info'!F84</f>
        <v>0.4</v>
      </c>
      <c r="E26" s="95">
        <f>'Base Lease Info'!G84</f>
        <v>9.9999999999999978E-2</v>
      </c>
      <c r="F26" s="3"/>
      <c r="G26" s="39"/>
    </row>
    <row r="27" spans="2:9" x14ac:dyDescent="0.2">
      <c r="B27" s="27" t="s">
        <v>82</v>
      </c>
      <c r="C27" s="93">
        <f>'Base Lease Info'!E85</f>
        <v>3.7</v>
      </c>
      <c r="D27" s="93">
        <f>'Base Lease Info'!F85</f>
        <v>8.4</v>
      </c>
      <c r="E27" s="93">
        <f>'Base Lease Info'!G85</f>
        <v>5.5</v>
      </c>
      <c r="F27" s="3"/>
      <c r="G27" s="39"/>
    </row>
    <row r="28" spans="2:9" x14ac:dyDescent="0.2">
      <c r="B28" s="27" t="s">
        <v>83</v>
      </c>
      <c r="C28" s="97">
        <f>'Base Lease Info'!E86</f>
        <v>155</v>
      </c>
      <c r="D28" s="97">
        <f>'Base Lease Info'!F86</f>
        <v>48</v>
      </c>
      <c r="E28" s="97">
        <f>'Base Lease Info'!G86</f>
        <v>60</v>
      </c>
      <c r="F28" s="28"/>
      <c r="G28" s="77"/>
    </row>
    <row r="29" spans="2:9" x14ac:dyDescent="0.2">
      <c r="B29" s="27" t="s">
        <v>84</v>
      </c>
      <c r="C29" s="94">
        <f>IF(C18&lt;C27,(C27-C18)*C28*0.85,0)</f>
        <v>59.287500000000023</v>
      </c>
      <c r="D29" s="94">
        <f t="shared" ref="D29:E29" si="2">IF(D18&lt;D27,(D27-D18)*D28*0.85,0)</f>
        <v>33.319999999999986</v>
      </c>
      <c r="E29" s="94">
        <f t="shared" si="2"/>
        <v>70.550000000000026</v>
      </c>
      <c r="F29" s="28"/>
      <c r="G29" s="77"/>
    </row>
    <row r="30" spans="2:9" x14ac:dyDescent="0.2">
      <c r="B30" s="27" t="s">
        <v>85</v>
      </c>
      <c r="C30" s="320">
        <f>(C29*C26+D29*D26+E29*E26)*C25</f>
        <v>40.021400000000007</v>
      </c>
      <c r="D30" s="321"/>
      <c r="E30" s="322"/>
      <c r="F30" s="3"/>
      <c r="G30" s="39"/>
    </row>
    <row r="31" spans="2:9" x14ac:dyDescent="0.2">
      <c r="B31" s="27"/>
      <c r="C31" s="29"/>
      <c r="D31" s="3"/>
      <c r="E31" s="3"/>
      <c r="F31" s="3"/>
      <c r="G31" s="39"/>
    </row>
    <row r="32" spans="2:9" x14ac:dyDescent="0.2">
      <c r="B32" s="17"/>
      <c r="C32" s="2"/>
      <c r="D32" s="2"/>
      <c r="E32" s="2"/>
      <c r="F32" s="2"/>
      <c r="G32" s="78"/>
    </row>
    <row r="33" spans="2:9" x14ac:dyDescent="0.2">
      <c r="B33" s="16" t="s">
        <v>1</v>
      </c>
      <c r="C33" s="2"/>
      <c r="D33" s="2"/>
      <c r="E33" s="2"/>
      <c r="F33" s="2"/>
      <c r="G33" s="78"/>
    </row>
    <row r="34" spans="2:9" x14ac:dyDescent="0.2">
      <c r="B34" s="17" t="s">
        <v>2</v>
      </c>
      <c r="C34" s="3">
        <f>'Base Lease Info'!F25</f>
        <v>275</v>
      </c>
      <c r="D34" s="3">
        <f>'Base Lease Info'!G25</f>
        <v>150</v>
      </c>
      <c r="E34" s="3">
        <f>'Base Lease Info'!H25</f>
        <v>140</v>
      </c>
      <c r="F34" s="3">
        <f>'Base Lease Info'!I25</f>
        <v>150</v>
      </c>
      <c r="G34" s="39">
        <f>E34+F34</f>
        <v>290</v>
      </c>
      <c r="I34" t="s">
        <v>45</v>
      </c>
    </row>
    <row r="35" spans="2:9" x14ac:dyDescent="0.2">
      <c r="B35" s="17" t="s">
        <v>6</v>
      </c>
      <c r="C35" s="3">
        <f>'Base Lease Info'!F26</f>
        <v>140</v>
      </c>
      <c r="D35" s="3">
        <f>'Base Lease Info'!G26</f>
        <v>90</v>
      </c>
      <c r="E35" s="3">
        <f>'Base Lease Info'!H26</f>
        <v>90</v>
      </c>
      <c r="F35" s="3">
        <f>'Base Lease Info'!I26</f>
        <v>85</v>
      </c>
      <c r="G35" s="39">
        <f t="shared" ref="G35:G36" si="3">E35+F35</f>
        <v>175</v>
      </c>
      <c r="I35" t="s">
        <v>46</v>
      </c>
    </row>
    <row r="36" spans="2:9" x14ac:dyDescent="0.2">
      <c r="B36" s="17" t="s">
        <v>3</v>
      </c>
      <c r="C36" s="3">
        <f>'Base Lease Info'!F27</f>
        <v>60</v>
      </c>
      <c r="D36" s="3">
        <f>'Base Lease Info'!G27</f>
        <v>40</v>
      </c>
      <c r="E36" s="3">
        <f>'Base Lease Info'!H27</f>
        <v>40</v>
      </c>
      <c r="F36" s="3">
        <f>'Base Lease Info'!I27</f>
        <v>40</v>
      </c>
      <c r="G36" s="39">
        <f t="shared" si="3"/>
        <v>80</v>
      </c>
      <c r="I36" t="s">
        <v>47</v>
      </c>
    </row>
    <row r="37" spans="2:9" x14ac:dyDescent="0.2">
      <c r="B37" s="17" t="s">
        <v>4</v>
      </c>
      <c r="C37" s="6">
        <f>$C12</f>
        <v>129.375</v>
      </c>
      <c r="D37" s="6">
        <f>D12</f>
        <v>131.5</v>
      </c>
      <c r="E37" s="6">
        <f t="shared" ref="E37:F37" si="4">E12</f>
        <v>62.5</v>
      </c>
      <c r="F37" s="6">
        <f t="shared" si="4"/>
        <v>67.895833333333343</v>
      </c>
      <c r="G37" s="38">
        <f>G12</f>
        <v>125</v>
      </c>
      <c r="I37" t="s">
        <v>60</v>
      </c>
    </row>
    <row r="38" spans="2:9" x14ac:dyDescent="0.2">
      <c r="B38" s="24" t="s">
        <v>44</v>
      </c>
      <c r="C38" s="14">
        <f>SUM(C34:C37)</f>
        <v>604.375</v>
      </c>
      <c r="D38" s="14">
        <f>SUM(D34:D37)</f>
        <v>411.5</v>
      </c>
      <c r="E38" s="14">
        <f t="shared" ref="E38" si="5">SUM(E34:E37)</f>
        <v>332.5</v>
      </c>
      <c r="F38" s="14">
        <f>SUM(F34:F37)</f>
        <v>342.89583333333337</v>
      </c>
      <c r="G38" s="39">
        <f>SUM(G34:G37)</f>
        <v>670</v>
      </c>
      <c r="I38" t="s">
        <v>61</v>
      </c>
    </row>
    <row r="39" spans="2:9" x14ac:dyDescent="0.2">
      <c r="B39" s="17"/>
      <c r="C39" s="2"/>
      <c r="D39" s="2"/>
      <c r="E39" s="2"/>
      <c r="F39" s="2"/>
      <c r="G39" s="78"/>
    </row>
    <row r="40" spans="2:9" x14ac:dyDescent="0.2">
      <c r="B40" s="18" t="s">
        <v>8</v>
      </c>
      <c r="C40" s="3">
        <f>C22</f>
        <v>487.5</v>
      </c>
      <c r="D40" s="3">
        <f t="shared" ref="D40:G40" si="6">D22</f>
        <v>341.25</v>
      </c>
      <c r="E40" s="3">
        <f t="shared" si="6"/>
        <v>267.58333333333331</v>
      </c>
      <c r="F40" s="3">
        <f t="shared" si="6"/>
        <v>265.41666666666669</v>
      </c>
      <c r="G40" s="39">
        <f t="shared" si="6"/>
        <v>533</v>
      </c>
      <c r="I40" s="25" t="s">
        <v>67</v>
      </c>
    </row>
    <row r="41" spans="2:9" x14ac:dyDescent="0.2">
      <c r="B41" s="17" t="s">
        <v>9</v>
      </c>
      <c r="C41" s="5">
        <f>SUM(C34:C37)</f>
        <v>604.375</v>
      </c>
      <c r="D41" s="5">
        <f>SUM(D34:D37)</f>
        <v>411.5</v>
      </c>
      <c r="E41" s="5">
        <f t="shared" ref="E41" si="7">SUM(E34:E37)</f>
        <v>332.5</v>
      </c>
      <c r="F41" s="5">
        <f>SUM(F34:F37)</f>
        <v>342.89583333333337</v>
      </c>
      <c r="G41" s="39">
        <f>SUM(G34:G37)</f>
        <v>670</v>
      </c>
    </row>
    <row r="42" spans="2:9" x14ac:dyDescent="0.2">
      <c r="B42" s="21" t="s">
        <v>7</v>
      </c>
      <c r="C42" s="10">
        <f>C40-C41</f>
        <v>-116.875</v>
      </c>
      <c r="D42" s="10">
        <f>D40-D41</f>
        <v>-70.25</v>
      </c>
      <c r="E42" s="10">
        <f>E40-E41</f>
        <v>-64.916666666666686</v>
      </c>
      <c r="F42" s="10">
        <f t="shared" ref="F42:G42" si="8">F40-F41</f>
        <v>-77.479166666666686</v>
      </c>
      <c r="G42" s="36">
        <f t="shared" si="8"/>
        <v>-137</v>
      </c>
      <c r="I42" t="s">
        <v>50</v>
      </c>
    </row>
    <row r="43" spans="2:9" ht="13.5" thickBot="1" x14ac:dyDescent="0.25">
      <c r="B43" s="22" t="s">
        <v>25</v>
      </c>
      <c r="C43" s="328">
        <f>IF('Base Lease Info'!F12='Base Lease Info'!L76,C42*'Base Lease Info'!F8 + D42*'Base Lease Info'!G8 + E42*'Base Lease Info'!H8 + F42*'Base Lease Info'!H8,C42*'Base Lease Info'!F8 + D42*'Base Lease Info'!G8 + G42*'Base Lease Info'!J8)</f>
        <v>-110.25</v>
      </c>
      <c r="D43" s="329"/>
      <c r="E43" s="329"/>
      <c r="F43" s="329"/>
      <c r="G43" s="330"/>
      <c r="I43" t="s">
        <v>51</v>
      </c>
    </row>
    <row r="44" spans="2:9" ht="13.5" thickTop="1" x14ac:dyDescent="0.2"/>
    <row r="45" spans="2:9" x14ac:dyDescent="0.2">
      <c r="B45" s="1" t="s">
        <v>59</v>
      </c>
    </row>
    <row r="47" spans="2:9" ht="13.5" customHeight="1" thickBot="1" x14ac:dyDescent="0.25"/>
    <row r="48" spans="2:9" ht="17.25" thickTop="1" thickBot="1" x14ac:dyDescent="0.3">
      <c r="B48" s="334" t="s">
        <v>103</v>
      </c>
      <c r="C48" s="335"/>
      <c r="D48" s="335"/>
      <c r="E48" s="335"/>
      <c r="F48" s="335"/>
      <c r="G48" s="336"/>
      <c r="I48" s="7"/>
    </row>
    <row r="49" spans="2:11" ht="13.5" thickTop="1" x14ac:dyDescent="0.2">
      <c r="B49" s="68" t="s">
        <v>14</v>
      </c>
      <c r="C49" s="337"/>
      <c r="D49" s="337"/>
      <c r="E49" s="131"/>
      <c r="F49" s="131"/>
      <c r="G49" s="69"/>
      <c r="I49" s="7" t="s">
        <v>18</v>
      </c>
    </row>
    <row r="50" spans="2:11" x14ac:dyDescent="0.2">
      <c r="B50" s="17" t="s">
        <v>31</v>
      </c>
      <c r="C50" s="331">
        <f>'Base Lease Info'!F21</f>
        <v>150</v>
      </c>
      <c r="D50" s="332"/>
      <c r="E50" s="332"/>
      <c r="F50" s="332"/>
      <c r="G50" s="333"/>
      <c r="I50" s="7"/>
    </row>
    <row r="51" spans="2:11" x14ac:dyDescent="0.2">
      <c r="B51" s="17" t="s">
        <v>10</v>
      </c>
      <c r="C51" s="338">
        <f>'Base Lease Info'!F10</f>
        <v>125</v>
      </c>
      <c r="D51" s="339"/>
      <c r="E51" s="339"/>
      <c r="F51" s="339"/>
      <c r="G51" s="340"/>
      <c r="H51" s="15"/>
      <c r="I51" s="11"/>
    </row>
    <row r="52" spans="2:11" x14ac:dyDescent="0.2">
      <c r="B52" s="17" t="s">
        <v>32</v>
      </c>
      <c r="C52" s="331" t="str">
        <f>'Base Lease Info'!F11</f>
        <v>No</v>
      </c>
      <c r="D52" s="332"/>
      <c r="E52" s="332"/>
      <c r="F52" s="332"/>
      <c r="G52" s="333"/>
      <c r="H52" s="15"/>
      <c r="I52" s="11" t="s">
        <v>62</v>
      </c>
    </row>
    <row r="53" spans="2:11" x14ac:dyDescent="0.2">
      <c r="B53" s="27"/>
      <c r="C53" s="12" t="s">
        <v>22</v>
      </c>
      <c r="D53" s="12" t="s">
        <v>23</v>
      </c>
      <c r="E53" s="12" t="s">
        <v>73</v>
      </c>
      <c r="F53" s="12" t="s">
        <v>74</v>
      </c>
      <c r="G53" s="35" t="s">
        <v>76</v>
      </c>
      <c r="H53" s="15"/>
      <c r="I53" s="11"/>
    </row>
    <row r="54" spans="2:11" x14ac:dyDescent="0.2">
      <c r="B54" s="80" t="s">
        <v>12</v>
      </c>
      <c r="C54" s="31">
        <f>'Base Lease Info'!F17</f>
        <v>0.35</v>
      </c>
      <c r="D54" s="31">
        <f>'Base Lease Info'!G17</f>
        <v>0.4</v>
      </c>
      <c r="E54" s="31">
        <f>'Base Lease Info'!H17</f>
        <v>0.35</v>
      </c>
      <c r="F54" s="31">
        <f>'Base Lease Info'!I17</f>
        <v>0.35</v>
      </c>
      <c r="G54" s="71">
        <f>E54*(E60/G60) + F54*(F60/G60)</f>
        <v>0.35</v>
      </c>
      <c r="H54" s="15"/>
      <c r="I54" s="11" t="s">
        <v>39</v>
      </c>
    </row>
    <row r="55" spans="2:11" ht="15.75" x14ac:dyDescent="0.25">
      <c r="B55" s="19" t="s">
        <v>91</v>
      </c>
      <c r="C55" s="9">
        <f>IF($C$52='Base Lease Info'!$J$75,C83*C54,IF(C83*C54&gt;$C$51,C83*C54,$C$51))</f>
        <v>170.625</v>
      </c>
      <c r="D55" s="9">
        <f>IF($C$52='Base Lease Info'!$J$75,D83*D54,IF(D83*D54&gt;$C$51,D83*D54,$C$51))</f>
        <v>136.5</v>
      </c>
      <c r="E55" s="9">
        <f>IF($C$52='Base Lease Info'!$J$75,E83*E54,IF(E83*E54&gt;$C$51/2,E83*E54,$C$51/2))</f>
        <v>93.654166666666654</v>
      </c>
      <c r="F55" s="9">
        <f>IF($C$52='Base Lease Info'!$J$75,F83*F54,IF(F83*F54&gt;$C$51/2,F83*F54,$C$51/2))</f>
        <v>92.895833333333329</v>
      </c>
      <c r="G55" s="72">
        <f>IF($C$52='Base Lease Info'!$J$75,G83*G54,IF(G83*G54&gt;$C$51,G83*G54,$C$51))</f>
        <v>186.54999999999998</v>
      </c>
      <c r="I55" t="s">
        <v>40</v>
      </c>
    </row>
    <row r="56" spans="2:11" ht="15.75" x14ac:dyDescent="0.25">
      <c r="B56" s="19" t="s">
        <v>58</v>
      </c>
      <c r="C56" s="323">
        <f>IF('Base Lease Info'!F12='Base Lease Info'!L75,C55*'Base Lease Info'!F8 + D55*'Base Lease Info'!G8 + G55*'Base Lease Info'!J8, C55*'Base Lease Info'!F8 + D55*'Base Lease Info'!G8 + E55*'Base Lease Info'!H8 + F55*'Base Lease Info'!H8)</f>
        <v>166.07499999999999</v>
      </c>
      <c r="D56" s="323"/>
      <c r="E56" s="323"/>
      <c r="F56" s="323"/>
      <c r="G56" s="324"/>
      <c r="I56" t="s">
        <v>48</v>
      </c>
    </row>
    <row r="57" spans="2:11" x14ac:dyDescent="0.2">
      <c r="B57" s="17" t="s">
        <v>19</v>
      </c>
      <c r="C57" s="325">
        <f>C56/$C50-1</f>
        <v>0.10716666666666663</v>
      </c>
      <c r="D57" s="326"/>
      <c r="E57" s="326"/>
      <c r="F57" s="326"/>
      <c r="G57" s="327"/>
      <c r="I57" t="s">
        <v>49</v>
      </c>
    </row>
    <row r="58" spans="2:11" x14ac:dyDescent="0.2">
      <c r="B58" s="17"/>
      <c r="C58" s="8"/>
      <c r="D58" s="8"/>
      <c r="E58" s="8"/>
      <c r="F58" s="8"/>
      <c r="G58" s="73"/>
    </row>
    <row r="59" spans="2:11" x14ac:dyDescent="0.2">
      <c r="B59" s="20" t="s">
        <v>20</v>
      </c>
      <c r="C59" s="12" t="s">
        <v>22</v>
      </c>
      <c r="D59" s="12" t="s">
        <v>23</v>
      </c>
      <c r="E59" s="12" t="s">
        <v>73</v>
      </c>
      <c r="F59" s="12" t="s">
        <v>74</v>
      </c>
      <c r="G59" s="35" t="s">
        <v>76</v>
      </c>
    </row>
    <row r="60" spans="2:11" x14ac:dyDescent="0.2">
      <c r="B60" s="17" t="s">
        <v>0</v>
      </c>
      <c r="C60" s="32">
        <f>'Base Lease Info'!F4</f>
        <v>150</v>
      </c>
      <c r="D60" s="32">
        <f>'Base Lease Info'!G4</f>
        <v>45</v>
      </c>
      <c r="E60" s="32">
        <f>'Base Lease Info'!H4</f>
        <v>65</v>
      </c>
      <c r="F60" s="32">
        <f>'Base Lease Info'!I4</f>
        <v>35</v>
      </c>
      <c r="G60" s="74">
        <f>E60+F60</f>
        <v>100</v>
      </c>
      <c r="I60" t="s">
        <v>26</v>
      </c>
      <c r="K60" s="82"/>
    </row>
    <row r="61" spans="2:11" x14ac:dyDescent="0.2">
      <c r="B61" s="17" t="s">
        <v>21</v>
      </c>
      <c r="C61" s="89">
        <f>'Base Lease Info'!B43</f>
        <v>3.25</v>
      </c>
      <c r="D61" s="89">
        <f>'Base Lease Info'!C43</f>
        <v>7.5833333333333339</v>
      </c>
      <c r="E61" s="89">
        <f>'Base Lease Info'!E43</f>
        <v>4.1166666666666663</v>
      </c>
      <c r="F61" s="26">
        <f>D61</f>
        <v>7.5833333333333339</v>
      </c>
      <c r="G61" s="75">
        <f>E61*(E60/G60) + F61*(F60/G60)</f>
        <v>5.33</v>
      </c>
      <c r="I61" t="s">
        <v>27</v>
      </c>
    </row>
    <row r="62" spans="2:11" x14ac:dyDescent="0.2">
      <c r="B62" s="17" t="s">
        <v>5</v>
      </c>
      <c r="C62" s="3">
        <f>C60*C61</f>
        <v>487.5</v>
      </c>
      <c r="D62" s="3">
        <f>D60*D61</f>
        <v>341.25</v>
      </c>
      <c r="E62" s="3">
        <f t="shared" ref="E62:F62" si="9">E60*E61</f>
        <v>267.58333333333331</v>
      </c>
      <c r="F62" s="3">
        <f t="shared" si="9"/>
        <v>265.41666666666669</v>
      </c>
      <c r="G62" s="46">
        <f>G60*G61</f>
        <v>533</v>
      </c>
      <c r="I62" t="s">
        <v>41</v>
      </c>
    </row>
    <row r="63" spans="2:11" x14ac:dyDescent="0.2">
      <c r="B63" s="17" t="s">
        <v>13</v>
      </c>
      <c r="C63" s="3">
        <f>IF('Base Lease Info'!$F6='Base Lease Info'!$J$75,$C73,0)</f>
        <v>0</v>
      </c>
      <c r="D63" s="3">
        <f>IF('Base Lease Info'!$F6='Base Lease Info'!$J$75,$C73,0)</f>
        <v>0</v>
      </c>
      <c r="E63" s="3">
        <f>IF('Base Lease Info'!$F6='Base Lease Info'!$J$75,$C73,0)</f>
        <v>0</v>
      </c>
      <c r="F63" s="3">
        <f>IF('Base Lease Info'!$F6='Base Lease Info'!$J$75,$C73,0)</f>
        <v>0</v>
      </c>
      <c r="G63" s="39">
        <f>IF('Base Lease Info'!$F6='Base Lease Info'!$J$75,$C73,0)</f>
        <v>0</v>
      </c>
      <c r="I63" s="25" t="s">
        <v>63</v>
      </c>
    </row>
    <row r="64" spans="2:11" x14ac:dyDescent="0.2">
      <c r="B64" s="27" t="s">
        <v>107</v>
      </c>
      <c r="C64" s="6">
        <f>'Base Lease Info'!E80</f>
        <v>0</v>
      </c>
      <c r="D64" s="6">
        <f>'Base Lease Info'!F80</f>
        <v>0</v>
      </c>
      <c r="E64" s="6">
        <f>'Base Lease Info'!G80</f>
        <v>0</v>
      </c>
      <c r="F64" s="6">
        <f>'Base Lease Info'!H80</f>
        <v>0</v>
      </c>
      <c r="G64" s="38">
        <f>'Base Lease Info'!I80</f>
        <v>0</v>
      </c>
      <c r="I64" s="25"/>
    </row>
    <row r="65" spans="2:9" x14ac:dyDescent="0.2">
      <c r="B65" s="24" t="s">
        <v>43</v>
      </c>
      <c r="C65" s="14">
        <f>SUM(C62:C64)</f>
        <v>487.5</v>
      </c>
      <c r="D65" s="14">
        <f t="shared" ref="D65:G65" si="10">SUM(D62:D64)</f>
        <v>341.25</v>
      </c>
      <c r="E65" s="14">
        <f t="shared" si="10"/>
        <v>267.58333333333331</v>
      </c>
      <c r="F65" s="14">
        <f>SUM(F62:F64)</f>
        <v>265.41666666666669</v>
      </c>
      <c r="G65" s="76">
        <f t="shared" si="10"/>
        <v>533</v>
      </c>
      <c r="I65" t="s">
        <v>42</v>
      </c>
    </row>
    <row r="66" spans="2:9" x14ac:dyDescent="0.2">
      <c r="B66" s="24"/>
      <c r="C66" s="14"/>
      <c r="D66" s="14"/>
      <c r="E66" s="14"/>
      <c r="F66" s="14"/>
      <c r="G66" s="76"/>
    </row>
    <row r="67" spans="2:9" x14ac:dyDescent="0.2">
      <c r="B67" s="40" t="s">
        <v>79</v>
      </c>
      <c r="C67" s="14"/>
      <c r="D67" s="14"/>
      <c r="E67" s="14"/>
      <c r="F67" s="14"/>
      <c r="G67" s="76"/>
    </row>
    <row r="68" spans="2:9" x14ac:dyDescent="0.2">
      <c r="B68" s="27" t="s">
        <v>81</v>
      </c>
      <c r="C68" s="95">
        <f>'Base Lease Info'!E83</f>
        <v>0.8</v>
      </c>
      <c r="D68" s="96"/>
      <c r="E68" s="96"/>
      <c r="F68" s="4"/>
      <c r="G68" s="37"/>
    </row>
    <row r="69" spans="2:9" x14ac:dyDescent="0.2">
      <c r="B69" s="27" t="s">
        <v>80</v>
      </c>
      <c r="C69" s="95">
        <f>'Base Lease Info'!E84</f>
        <v>0.5</v>
      </c>
      <c r="D69" s="95">
        <f>'Base Lease Info'!F84</f>
        <v>0.4</v>
      </c>
      <c r="E69" s="95">
        <f>'Base Lease Info'!G84</f>
        <v>9.9999999999999978E-2</v>
      </c>
      <c r="F69" s="3"/>
      <c r="G69" s="39"/>
    </row>
    <row r="70" spans="2:9" x14ac:dyDescent="0.2">
      <c r="B70" s="27" t="s">
        <v>82</v>
      </c>
      <c r="C70" s="93">
        <f>'Base Lease Info'!E85</f>
        <v>3.7</v>
      </c>
      <c r="D70" s="93">
        <f>'Base Lease Info'!F85</f>
        <v>8.4</v>
      </c>
      <c r="E70" s="93">
        <f>'Base Lease Info'!G85</f>
        <v>5.5</v>
      </c>
      <c r="F70" s="3"/>
      <c r="G70" s="39"/>
    </row>
    <row r="71" spans="2:9" x14ac:dyDescent="0.2">
      <c r="B71" s="27" t="s">
        <v>83</v>
      </c>
      <c r="C71" s="97">
        <f>'Base Lease Info'!E86</f>
        <v>155</v>
      </c>
      <c r="D71" s="97">
        <f>'Base Lease Info'!F86</f>
        <v>48</v>
      </c>
      <c r="E71" s="97">
        <f>'Base Lease Info'!G86</f>
        <v>60</v>
      </c>
      <c r="F71" s="28"/>
      <c r="G71" s="77"/>
    </row>
    <row r="72" spans="2:9" x14ac:dyDescent="0.2">
      <c r="B72" s="27" t="s">
        <v>84</v>
      </c>
      <c r="C72" s="94">
        <f>IF(C61&lt;C70,(C70-C61)*C71*0.85,0)</f>
        <v>59.287500000000023</v>
      </c>
      <c r="D72" s="94">
        <f t="shared" ref="D72:E72" si="11">IF(D61&lt;D70,(D70-D61)*D71*0.85,0)</f>
        <v>33.319999999999986</v>
      </c>
      <c r="E72" s="94">
        <f t="shared" si="11"/>
        <v>70.550000000000026</v>
      </c>
      <c r="F72" s="28"/>
      <c r="G72" s="77"/>
    </row>
    <row r="73" spans="2:9" x14ac:dyDescent="0.2">
      <c r="B73" s="27" t="s">
        <v>85</v>
      </c>
      <c r="C73" s="320">
        <f>(C72*C69+D72*D69+E72*E69)*C68</f>
        <v>40.021400000000007</v>
      </c>
      <c r="D73" s="321"/>
      <c r="E73" s="322"/>
      <c r="F73" s="3"/>
      <c r="G73" s="39"/>
    </row>
    <row r="74" spans="2:9" x14ac:dyDescent="0.2">
      <c r="B74" s="27"/>
      <c r="C74" s="29"/>
      <c r="D74" s="3"/>
      <c r="E74" s="3"/>
      <c r="F74" s="3"/>
      <c r="G74" s="39"/>
    </row>
    <row r="75" spans="2:9" x14ac:dyDescent="0.2">
      <c r="B75" s="17"/>
      <c r="C75" s="2"/>
      <c r="D75" s="2"/>
      <c r="E75" s="2"/>
      <c r="F75" s="2"/>
      <c r="G75" s="78"/>
    </row>
    <row r="76" spans="2:9" x14ac:dyDescent="0.2">
      <c r="B76" s="16" t="s">
        <v>1</v>
      </c>
      <c r="C76" s="2"/>
      <c r="D76" s="2"/>
      <c r="E76" s="2"/>
      <c r="F76" s="2"/>
      <c r="G76" s="78"/>
    </row>
    <row r="77" spans="2:9" x14ac:dyDescent="0.2">
      <c r="B77" s="17" t="s">
        <v>2</v>
      </c>
      <c r="C77" s="3">
        <f>'Base Lease Info'!F25</f>
        <v>275</v>
      </c>
      <c r="D77" s="3">
        <f>'Base Lease Info'!G25</f>
        <v>150</v>
      </c>
      <c r="E77" s="3">
        <f>'Base Lease Info'!H25</f>
        <v>140</v>
      </c>
      <c r="F77" s="3">
        <f>'Base Lease Info'!I25</f>
        <v>150</v>
      </c>
      <c r="G77" s="39">
        <f>E77+F77</f>
        <v>290</v>
      </c>
      <c r="I77" t="s">
        <v>45</v>
      </c>
    </row>
    <row r="78" spans="2:9" x14ac:dyDescent="0.2">
      <c r="B78" s="17" t="s">
        <v>6</v>
      </c>
      <c r="C78" s="3">
        <f>'Base Lease Info'!F26</f>
        <v>140</v>
      </c>
      <c r="D78" s="3">
        <f>'Base Lease Info'!G26</f>
        <v>90</v>
      </c>
      <c r="E78" s="3">
        <f>'Base Lease Info'!H26</f>
        <v>90</v>
      </c>
      <c r="F78" s="3">
        <f>'Base Lease Info'!I26</f>
        <v>85</v>
      </c>
      <c r="G78" s="39">
        <f t="shared" ref="G78:G79" si="12">E78+F78</f>
        <v>175</v>
      </c>
      <c r="I78" t="s">
        <v>46</v>
      </c>
    </row>
    <row r="79" spans="2:9" x14ac:dyDescent="0.2">
      <c r="B79" s="17" t="s">
        <v>3</v>
      </c>
      <c r="C79" s="3">
        <f>'Base Lease Info'!F27</f>
        <v>60</v>
      </c>
      <c r="D79" s="3">
        <f>'Base Lease Info'!G27</f>
        <v>40</v>
      </c>
      <c r="E79" s="3">
        <f>'Base Lease Info'!H27</f>
        <v>40</v>
      </c>
      <c r="F79" s="3">
        <f>'Base Lease Info'!I27</f>
        <v>40</v>
      </c>
      <c r="G79" s="39">
        <f t="shared" si="12"/>
        <v>80</v>
      </c>
      <c r="I79" t="s">
        <v>47</v>
      </c>
    </row>
    <row r="80" spans="2:9" x14ac:dyDescent="0.2">
      <c r="B80" s="18" t="s">
        <v>4</v>
      </c>
      <c r="C80" s="6">
        <f>$C55</f>
        <v>170.625</v>
      </c>
      <c r="D80" s="6">
        <f>D55</f>
        <v>136.5</v>
      </c>
      <c r="E80" s="6">
        <f>E55</f>
        <v>93.654166666666654</v>
      </c>
      <c r="F80" s="6">
        <f>F55</f>
        <v>92.895833333333329</v>
      </c>
      <c r="G80" s="38">
        <f>G55</f>
        <v>186.54999999999998</v>
      </c>
      <c r="I80" t="s">
        <v>60</v>
      </c>
    </row>
    <row r="81" spans="2:9" x14ac:dyDescent="0.2">
      <c r="B81" s="24" t="s">
        <v>44</v>
      </c>
      <c r="C81" s="14">
        <f>SUM(C77:C80)</f>
        <v>645.625</v>
      </c>
      <c r="D81" s="14">
        <f>SUM(D77:D80)</f>
        <v>416.5</v>
      </c>
      <c r="E81" s="14">
        <f t="shared" ref="E81" si="13">SUM(E77:E80)</f>
        <v>363.65416666666664</v>
      </c>
      <c r="F81" s="14">
        <f>SUM(F77:F80)</f>
        <v>367.89583333333331</v>
      </c>
      <c r="G81" s="39">
        <f>SUM(G77:G80)</f>
        <v>731.55</v>
      </c>
      <c r="I81" t="s">
        <v>61</v>
      </c>
    </row>
    <row r="82" spans="2:9" x14ac:dyDescent="0.2">
      <c r="B82" s="17"/>
      <c r="C82" s="2"/>
      <c r="D82" s="2"/>
      <c r="E82" s="2"/>
      <c r="F82" s="2"/>
      <c r="G82" s="78"/>
    </row>
    <row r="83" spans="2:9" x14ac:dyDescent="0.2">
      <c r="B83" s="17" t="s">
        <v>8</v>
      </c>
      <c r="C83" s="3">
        <f>C65</f>
        <v>487.5</v>
      </c>
      <c r="D83" s="3">
        <f t="shared" ref="D83:G83" si="14">D65</f>
        <v>341.25</v>
      </c>
      <c r="E83" s="3">
        <f t="shared" si="14"/>
        <v>267.58333333333331</v>
      </c>
      <c r="F83" s="3">
        <f t="shared" si="14"/>
        <v>265.41666666666669</v>
      </c>
      <c r="G83" s="39">
        <f t="shared" si="14"/>
        <v>533</v>
      </c>
      <c r="I83" s="25" t="s">
        <v>67</v>
      </c>
    </row>
    <row r="84" spans="2:9" x14ac:dyDescent="0.2">
      <c r="B84" s="17" t="s">
        <v>9</v>
      </c>
      <c r="C84" s="5">
        <f>SUM(C77:C80)</f>
        <v>645.625</v>
      </c>
      <c r="D84" s="5">
        <f t="shared" ref="D84:G84" si="15">SUM(D77:D80)</f>
        <v>416.5</v>
      </c>
      <c r="E84" s="5">
        <f t="shared" si="15"/>
        <v>363.65416666666664</v>
      </c>
      <c r="F84" s="5">
        <f t="shared" si="15"/>
        <v>367.89583333333331</v>
      </c>
      <c r="G84" s="85">
        <f t="shared" si="15"/>
        <v>731.55</v>
      </c>
    </row>
    <row r="85" spans="2:9" x14ac:dyDescent="0.2">
      <c r="B85" s="21" t="s">
        <v>7</v>
      </c>
      <c r="C85" s="10">
        <f>C83-C84</f>
        <v>-158.125</v>
      </c>
      <c r="D85" s="10">
        <f>D83-D84</f>
        <v>-75.25</v>
      </c>
      <c r="E85" s="10">
        <f>E83-E84</f>
        <v>-96.070833333333326</v>
      </c>
      <c r="F85" s="10">
        <f t="shared" ref="F85:G85" si="16">F83-F84</f>
        <v>-102.47916666666663</v>
      </c>
      <c r="G85" s="36">
        <f t="shared" si="16"/>
        <v>-198.54999999999995</v>
      </c>
      <c r="I85" t="s">
        <v>50</v>
      </c>
    </row>
    <row r="86" spans="2:9" ht="13.5" thickBot="1" x14ac:dyDescent="0.25">
      <c r="B86" s="22" t="s">
        <v>25</v>
      </c>
      <c r="C86" s="328">
        <f>IF('Base Lease Info'!F12='Base Lease Info'!L76,C85*'Base Lease Info'!F8 + D85*'Base Lease Info'!G8 + E85*'Base Lease Info'!H8 + F85*'Base Lease Info'!H8,C85*'Base Lease Info'!F8 + D85*'Base Lease Info'!G8 + G85*'Base Lease Info'!J8)</f>
        <v>-147.51249999999999</v>
      </c>
      <c r="D86" s="329"/>
      <c r="E86" s="329"/>
      <c r="F86" s="329"/>
      <c r="G86" s="330"/>
      <c r="I86" t="s">
        <v>51</v>
      </c>
    </row>
    <row r="87" spans="2:9" ht="13.5" thickTop="1" x14ac:dyDescent="0.2"/>
    <row r="88" spans="2:9" x14ac:dyDescent="0.2">
      <c r="B88" s="1" t="s">
        <v>59</v>
      </c>
    </row>
    <row r="90" spans="2:9" ht="13.5" thickBot="1" x14ac:dyDescent="0.25">
      <c r="B90" s="11"/>
      <c r="C90" s="11"/>
      <c r="D90" s="11"/>
      <c r="E90" s="11"/>
      <c r="F90" s="11"/>
      <c r="G90" s="11"/>
    </row>
    <row r="91" spans="2:9" ht="17.25" thickTop="1" thickBot="1" x14ac:dyDescent="0.3">
      <c r="B91" s="334" t="s">
        <v>104</v>
      </c>
      <c r="C91" s="335"/>
      <c r="D91" s="335"/>
      <c r="E91" s="335"/>
      <c r="F91" s="335"/>
      <c r="G91" s="336"/>
      <c r="I91" s="7"/>
    </row>
    <row r="92" spans="2:9" ht="13.5" thickTop="1" x14ac:dyDescent="0.2">
      <c r="B92" s="68" t="s">
        <v>14</v>
      </c>
      <c r="C92" s="337"/>
      <c r="D92" s="337"/>
      <c r="E92" s="131"/>
      <c r="F92" s="131"/>
      <c r="G92" s="69"/>
      <c r="I92" s="7" t="s">
        <v>18</v>
      </c>
    </row>
    <row r="93" spans="2:9" x14ac:dyDescent="0.2">
      <c r="B93" s="17" t="s">
        <v>31</v>
      </c>
      <c r="C93" s="331">
        <f>'Base Lease Info'!F21</f>
        <v>150</v>
      </c>
      <c r="D93" s="332"/>
      <c r="E93" s="332"/>
      <c r="F93" s="332"/>
      <c r="G93" s="333"/>
      <c r="I93" s="7"/>
    </row>
    <row r="94" spans="2:9" x14ac:dyDescent="0.2">
      <c r="B94" s="17" t="s">
        <v>10</v>
      </c>
      <c r="C94" s="331">
        <f>'Base Lease Info'!F10</f>
        <v>125</v>
      </c>
      <c r="D94" s="332"/>
      <c r="E94" s="332"/>
      <c r="F94" s="332"/>
      <c r="G94" s="333"/>
      <c r="H94" s="15"/>
      <c r="I94" s="11"/>
    </row>
    <row r="95" spans="2:9" x14ac:dyDescent="0.2">
      <c r="B95" s="17" t="s">
        <v>32</v>
      </c>
      <c r="C95" s="331" t="str">
        <f>'Base Lease Info'!F11</f>
        <v>No</v>
      </c>
      <c r="D95" s="332"/>
      <c r="E95" s="332"/>
      <c r="F95" s="332"/>
      <c r="G95" s="333"/>
      <c r="H95" s="15"/>
      <c r="I95" s="11" t="s">
        <v>62</v>
      </c>
    </row>
    <row r="96" spans="2:9" x14ac:dyDescent="0.2">
      <c r="B96" s="17"/>
      <c r="C96" s="12" t="s">
        <v>22</v>
      </c>
      <c r="D96" s="12" t="s">
        <v>23</v>
      </c>
      <c r="E96" s="12" t="s">
        <v>73</v>
      </c>
      <c r="F96" s="12" t="s">
        <v>74</v>
      </c>
      <c r="G96" s="35" t="s">
        <v>76</v>
      </c>
      <c r="H96" s="15"/>
      <c r="I96" s="11"/>
    </row>
    <row r="97" spans="2:9" x14ac:dyDescent="0.2">
      <c r="B97" s="17" t="s">
        <v>28</v>
      </c>
      <c r="C97" s="13">
        <f>SUM('Base Lease Info'!F25:F27)+C94</f>
        <v>600</v>
      </c>
      <c r="D97" s="13">
        <f>SUM('Base Lease Info'!G25:G27)+D94</f>
        <v>280</v>
      </c>
      <c r="E97" s="13">
        <f>SUM('Base Lease Info'!H25:H27)+E94</f>
        <v>270</v>
      </c>
      <c r="F97" s="13">
        <f>SUM('Base Lease Info'!I25:I27)+F94</f>
        <v>275</v>
      </c>
      <c r="G97" s="70">
        <f>E97+F97</f>
        <v>545</v>
      </c>
      <c r="H97" s="15"/>
      <c r="I97" s="11" t="s">
        <v>54</v>
      </c>
    </row>
    <row r="98" spans="2:9" x14ac:dyDescent="0.2">
      <c r="B98" s="17" t="s">
        <v>11</v>
      </c>
      <c r="C98" s="30">
        <f>'Base Lease Info'!F16</f>
        <v>475</v>
      </c>
      <c r="D98" s="30">
        <f>'Base Lease Info'!G16</f>
        <v>325</v>
      </c>
      <c r="E98" s="30">
        <f>'Base Lease Info'!H16</f>
        <v>325</v>
      </c>
      <c r="F98" s="30">
        <f>'Base Lease Info'!I16</f>
        <v>250</v>
      </c>
      <c r="G98" s="70">
        <f>E98+F98</f>
        <v>575</v>
      </c>
      <c r="I98" s="11" t="s">
        <v>38</v>
      </c>
    </row>
    <row r="99" spans="2:9" x14ac:dyDescent="0.2">
      <c r="B99" s="18" t="s">
        <v>12</v>
      </c>
      <c r="C99" s="31">
        <f>'Base Lease Info'!F17</f>
        <v>0.35</v>
      </c>
      <c r="D99" s="31">
        <f>'Base Lease Info'!G17</f>
        <v>0.4</v>
      </c>
      <c r="E99" s="31">
        <f>'Base Lease Info'!H17</f>
        <v>0.35</v>
      </c>
      <c r="F99" s="31">
        <f>'Base Lease Info'!I17</f>
        <v>0.35</v>
      </c>
      <c r="G99" s="90">
        <f>E99*(E106/G106) + F99*(F106/G106)</f>
        <v>0.35</v>
      </c>
      <c r="H99" s="15"/>
      <c r="I99" s="11" t="s">
        <v>39</v>
      </c>
    </row>
    <row r="100" spans="2:9" x14ac:dyDescent="0.2">
      <c r="B100" s="18" t="s">
        <v>55</v>
      </c>
      <c r="C100" s="10">
        <f>IF($C95='Base Lease Info'!$J$75,(C108+C109-C98)*C99,IF((C108 + C109) &gt; C98,(C108+C109-C98)*C99,0))</f>
        <v>0</v>
      </c>
      <c r="D100" s="10">
        <f>IF($C95='Base Lease Info'!$J$75,(D108+D109-D98)*D99,IF((D108 + D109) &gt; D98,(D108+D109-D98)*D99,0))</f>
        <v>0</v>
      </c>
      <c r="E100" s="10">
        <f>IF($C95='Base Lease Info'!$J$75,(E108+E109-E98)*E99,IF((E108 + E109) &gt; E98,(E108+E109-E98)*E99,0))</f>
        <v>0</v>
      </c>
      <c r="F100" s="10">
        <f>IF($C95='Base Lease Info'!$J$75,(F108+F109-F98)*F99,IF((F108 + F109) &gt; F98,(F108+F109-F98)*F99,0))</f>
        <v>0</v>
      </c>
      <c r="G100" s="36">
        <f>IF($C95='Base Lease Info'!$J$75,(G108+G109-G98)*G99,IF((G108 + G109) &gt; G98,(G108+G109-G98)*G99,0))</f>
        <v>0</v>
      </c>
      <c r="H100" s="15"/>
      <c r="I100" s="11" t="s">
        <v>57</v>
      </c>
    </row>
    <row r="101" spans="2:9" ht="15.75" x14ac:dyDescent="0.25">
      <c r="B101" s="19" t="s">
        <v>56</v>
      </c>
      <c r="C101" s="9">
        <f>IF($C95='Base Lease Info'!$J$75,$C94+(C108+C109-C98)*C99,IF((C108 + C109) &gt; C98,$C94+(C108+C109-C98)*C99,$C94))</f>
        <v>125</v>
      </c>
      <c r="D101" s="9">
        <f>IF($C95='Base Lease Info'!$J$75,$C94+(D108+D109-D98)*D99,IF((D108 + D109) &gt; D98,$C94+(D108+D109-D98)*D99,$C94))</f>
        <v>125</v>
      </c>
      <c r="E101" s="9">
        <f>IF($C95='Base Lease Info'!$J$75,$C94/2+(E108+E109-E98)*E99,IF((E108 + E109) &gt; E98,$C94/2+(E108+E109-E98)*E99,$C94/2))</f>
        <v>62.5</v>
      </c>
      <c r="F101" s="9">
        <f>IF($C95='Base Lease Info'!$J$75,$C94/2+(F108+F109-F98)*F99,IF((F108 + F109) &gt; F98,$C94/2+(F108+F109-F98)*F99,$C94/2))</f>
        <v>62.5</v>
      </c>
      <c r="G101" s="72">
        <f>IF($C95='Base Lease Info'!$J$75,$C94+(G108+G109-G98)*G99,IF((G108 + G109) &gt; G98,$C94+(G108+G109-G98)*G99,$C94))</f>
        <v>125</v>
      </c>
      <c r="I101" t="s">
        <v>40</v>
      </c>
    </row>
    <row r="102" spans="2:9" ht="15.75" x14ac:dyDescent="0.25">
      <c r="B102" s="19" t="s">
        <v>58</v>
      </c>
      <c r="C102" s="323">
        <f>IF('Base Lease Info'!F12='Base Lease Info'!L75,C101*'Base Lease Info'!F8 + D101*'Base Lease Info'!G8 + G101*'Base Lease Info'!J8, C101*'Base Lease Info'!F8 + D101*'Base Lease Info'!G8 + E101*'Base Lease Info'!H8 + F101*'Base Lease Info'!H8)</f>
        <v>125</v>
      </c>
      <c r="D102" s="323"/>
      <c r="E102" s="323"/>
      <c r="F102" s="323"/>
      <c r="G102" s="324"/>
      <c r="I102" t="s">
        <v>48</v>
      </c>
    </row>
    <row r="103" spans="2:9" x14ac:dyDescent="0.2">
      <c r="B103" s="17" t="s">
        <v>19</v>
      </c>
      <c r="C103" s="325">
        <f>C102/$C93-1</f>
        <v>-0.16666666666666663</v>
      </c>
      <c r="D103" s="326"/>
      <c r="E103" s="326"/>
      <c r="F103" s="326"/>
      <c r="G103" s="327"/>
      <c r="I103" t="s">
        <v>49</v>
      </c>
    </row>
    <row r="104" spans="2:9" x14ac:dyDescent="0.2">
      <c r="B104" s="17"/>
      <c r="C104" s="8"/>
      <c r="D104" s="8"/>
      <c r="E104" s="8"/>
      <c r="F104" s="8"/>
      <c r="G104" s="73"/>
    </row>
    <row r="105" spans="2:9" x14ac:dyDescent="0.2">
      <c r="B105" s="20" t="s">
        <v>20</v>
      </c>
      <c r="C105" s="12" t="s">
        <v>22</v>
      </c>
      <c r="D105" s="12" t="s">
        <v>23</v>
      </c>
      <c r="E105" s="12" t="s">
        <v>73</v>
      </c>
      <c r="F105" s="12" t="s">
        <v>74</v>
      </c>
      <c r="G105" s="35" t="s">
        <v>76</v>
      </c>
    </row>
    <row r="106" spans="2:9" x14ac:dyDescent="0.2">
      <c r="B106" s="17" t="s">
        <v>0</v>
      </c>
      <c r="C106" s="92">
        <f>'Base Lease Info'!B56</f>
        <v>120</v>
      </c>
      <c r="D106" s="92">
        <f>'Base Lease Info'!C56</f>
        <v>36</v>
      </c>
      <c r="E106" s="92">
        <f>'Base Lease Info'!E56</f>
        <v>52</v>
      </c>
      <c r="F106" s="92">
        <f>'Base Lease Info'!D56</f>
        <v>28</v>
      </c>
      <c r="G106" s="140">
        <f>E106+F106</f>
        <v>80</v>
      </c>
      <c r="I106" t="s">
        <v>26</v>
      </c>
    </row>
    <row r="107" spans="2:9" x14ac:dyDescent="0.2">
      <c r="B107" s="17" t="s">
        <v>21</v>
      </c>
      <c r="C107" s="26">
        <f>'Base Lease Info'!F5</f>
        <v>3.75</v>
      </c>
      <c r="D107" s="26">
        <f>'Base Lease Info'!G5</f>
        <v>8.75</v>
      </c>
      <c r="E107" s="26">
        <f>'Base Lease Info'!H5</f>
        <v>4.75</v>
      </c>
      <c r="F107" s="26">
        <f>'Base Lease Info'!I5</f>
        <v>8.75</v>
      </c>
      <c r="G107" s="81">
        <f>E107*(E106/G106) + F107*(F106/G106)</f>
        <v>6.15</v>
      </c>
      <c r="I107" t="s">
        <v>27</v>
      </c>
    </row>
    <row r="108" spans="2:9" x14ac:dyDescent="0.2">
      <c r="B108" s="17" t="s">
        <v>5</v>
      </c>
      <c r="C108" s="3">
        <f>C106*C107</f>
        <v>450</v>
      </c>
      <c r="D108" s="3">
        <f>D106*D107</f>
        <v>315</v>
      </c>
      <c r="E108" s="3">
        <f t="shared" ref="E108:F108" si="17">E106*E107</f>
        <v>247</v>
      </c>
      <c r="F108" s="3">
        <f t="shared" si="17"/>
        <v>245</v>
      </c>
      <c r="G108" s="46">
        <f>G106*G107</f>
        <v>492</v>
      </c>
      <c r="I108" t="s">
        <v>41</v>
      </c>
    </row>
    <row r="109" spans="2:9" x14ac:dyDescent="0.2">
      <c r="B109" s="17" t="s">
        <v>13</v>
      </c>
      <c r="C109" s="3">
        <f>IF('Base Lease Info'!$F6='Base Lease Info'!$J$75,$C119,0)</f>
        <v>0</v>
      </c>
      <c r="D109" s="3">
        <f>IF('Base Lease Info'!$F6='Base Lease Info'!$J$75,$C119,0)</f>
        <v>0</v>
      </c>
      <c r="E109" s="3">
        <f>IF('Base Lease Info'!$F6='Base Lease Info'!$J$75,$C119,0)</f>
        <v>0</v>
      </c>
      <c r="F109" s="3">
        <f>IF('Base Lease Info'!$F6='Base Lease Info'!$J$75,$C119,0)</f>
        <v>0</v>
      </c>
      <c r="G109" s="39">
        <f>IF('Base Lease Info'!$F6='Base Lease Info'!$J$75,$C119,0)</f>
        <v>0</v>
      </c>
      <c r="I109" s="25" t="s">
        <v>63</v>
      </c>
    </row>
    <row r="110" spans="2:9" x14ac:dyDescent="0.2">
      <c r="B110" s="27" t="s">
        <v>107</v>
      </c>
      <c r="C110" s="6">
        <f>'Base Lease Info'!E80</f>
        <v>0</v>
      </c>
      <c r="D110" s="6">
        <f>'Base Lease Info'!F80</f>
        <v>0</v>
      </c>
      <c r="E110" s="6">
        <f>'Base Lease Info'!G80</f>
        <v>0</v>
      </c>
      <c r="F110" s="6">
        <f>'Base Lease Info'!H80</f>
        <v>0</v>
      </c>
      <c r="G110" s="38">
        <f>'Base Lease Info'!I80</f>
        <v>0</v>
      </c>
      <c r="I110" s="25"/>
    </row>
    <row r="111" spans="2:9" x14ac:dyDescent="0.2">
      <c r="B111" s="24" t="s">
        <v>43</v>
      </c>
      <c r="C111" s="14">
        <f>SUM(C108:C110)</f>
        <v>450</v>
      </c>
      <c r="D111" s="14">
        <f t="shared" ref="D111:G111" si="18">SUM(D108:D110)</f>
        <v>315</v>
      </c>
      <c r="E111" s="14">
        <f t="shared" si="18"/>
        <v>247</v>
      </c>
      <c r="F111" s="14">
        <f t="shared" si="18"/>
        <v>245</v>
      </c>
      <c r="G111" s="76">
        <f t="shared" si="18"/>
        <v>492</v>
      </c>
      <c r="I111" t="s">
        <v>42</v>
      </c>
    </row>
    <row r="112" spans="2:9" x14ac:dyDescent="0.2">
      <c r="B112" s="24"/>
      <c r="C112" s="14"/>
      <c r="D112" s="14"/>
      <c r="E112" s="14"/>
      <c r="F112" s="14"/>
      <c r="G112" s="76"/>
    </row>
    <row r="113" spans="2:9" x14ac:dyDescent="0.2">
      <c r="B113" s="40" t="s">
        <v>79</v>
      </c>
      <c r="C113" s="14"/>
      <c r="D113" s="14"/>
      <c r="E113" s="14"/>
      <c r="F113" s="14"/>
      <c r="G113" s="76"/>
    </row>
    <row r="114" spans="2:9" x14ac:dyDescent="0.2">
      <c r="B114" s="27" t="s">
        <v>81</v>
      </c>
      <c r="C114" s="95">
        <f>'Base Lease Info'!E83</f>
        <v>0.8</v>
      </c>
      <c r="D114" s="96"/>
      <c r="E114" s="96"/>
      <c r="F114" s="4"/>
      <c r="G114" s="37"/>
    </row>
    <row r="115" spans="2:9" x14ac:dyDescent="0.2">
      <c r="B115" s="27" t="s">
        <v>80</v>
      </c>
      <c r="C115" s="95">
        <f>'Base Lease Info'!E84</f>
        <v>0.5</v>
      </c>
      <c r="D115" s="95">
        <f>'Base Lease Info'!F84</f>
        <v>0.4</v>
      </c>
      <c r="E115" s="95">
        <f>'Base Lease Info'!G84</f>
        <v>9.9999999999999978E-2</v>
      </c>
      <c r="F115" s="3"/>
      <c r="G115" s="39"/>
    </row>
    <row r="116" spans="2:9" x14ac:dyDescent="0.2">
      <c r="B116" s="80" t="s">
        <v>82</v>
      </c>
      <c r="C116" s="93">
        <f>'Base Lease Info'!E85</f>
        <v>3.7</v>
      </c>
      <c r="D116" s="93">
        <f>'Base Lease Info'!F85</f>
        <v>8.4</v>
      </c>
      <c r="E116" s="93">
        <f>'Base Lease Info'!G85</f>
        <v>5.5</v>
      </c>
      <c r="F116" s="3"/>
      <c r="G116" s="39"/>
      <c r="I116" s="25" t="s">
        <v>106</v>
      </c>
    </row>
    <row r="117" spans="2:9" x14ac:dyDescent="0.2">
      <c r="B117" s="27" t="s">
        <v>83</v>
      </c>
      <c r="C117" s="97">
        <f>'Base Lease Info'!E86</f>
        <v>155</v>
      </c>
      <c r="D117" s="97">
        <f>'Base Lease Info'!F86</f>
        <v>48</v>
      </c>
      <c r="E117" s="97">
        <f>'Base Lease Info'!G86</f>
        <v>60</v>
      </c>
      <c r="F117" s="28"/>
      <c r="G117" s="77"/>
    </row>
    <row r="118" spans="2:9" x14ac:dyDescent="0.2">
      <c r="B118" s="27" t="s">
        <v>84</v>
      </c>
      <c r="C118" s="3">
        <f>IF(C107&lt;C116,(C116-C107)*C117*0.85,0)</f>
        <v>0</v>
      </c>
      <c r="D118" s="3">
        <f>IF(D107&lt;D116,(D116-D107)*D117*0.85,0)</f>
        <v>0</v>
      </c>
      <c r="E118" s="3">
        <f>IF(E107&lt;E116,(E116-E107)*E117*0.85,0)</f>
        <v>38.25</v>
      </c>
      <c r="F118" s="28"/>
      <c r="G118" s="77"/>
    </row>
    <row r="119" spans="2:9" x14ac:dyDescent="0.2">
      <c r="B119" s="27" t="s">
        <v>85</v>
      </c>
      <c r="C119" s="320">
        <f>(C118*C115+D118*D115+E118*E115)*C114</f>
        <v>3.0599999999999996</v>
      </c>
      <c r="D119" s="321"/>
      <c r="E119" s="322"/>
      <c r="F119" s="3"/>
      <c r="G119" s="39"/>
    </row>
    <row r="120" spans="2:9" x14ac:dyDescent="0.2">
      <c r="B120" s="27"/>
      <c r="C120" s="29"/>
      <c r="D120" s="3"/>
      <c r="E120" s="3"/>
      <c r="F120" s="3"/>
      <c r="G120" s="39"/>
    </row>
    <row r="121" spans="2:9" x14ac:dyDescent="0.2">
      <c r="B121" s="17"/>
      <c r="C121" s="2"/>
      <c r="D121" s="2"/>
      <c r="E121" s="2"/>
      <c r="F121" s="2"/>
      <c r="G121" s="78"/>
    </row>
    <row r="122" spans="2:9" x14ac:dyDescent="0.2">
      <c r="B122" s="16" t="s">
        <v>1</v>
      </c>
      <c r="C122" s="2"/>
      <c r="D122" s="2"/>
      <c r="E122" s="2"/>
      <c r="F122" s="2"/>
      <c r="G122" s="78"/>
    </row>
    <row r="123" spans="2:9" x14ac:dyDescent="0.2">
      <c r="B123" s="17" t="s">
        <v>2</v>
      </c>
      <c r="C123" s="3">
        <f>'Base Lease Info'!F25</f>
        <v>275</v>
      </c>
      <c r="D123" s="3">
        <f>'Base Lease Info'!G25</f>
        <v>150</v>
      </c>
      <c r="E123" s="3">
        <f>'Base Lease Info'!H25</f>
        <v>140</v>
      </c>
      <c r="F123" s="3">
        <f>'Base Lease Info'!I25</f>
        <v>150</v>
      </c>
      <c r="G123" s="39">
        <f>E123+F123</f>
        <v>290</v>
      </c>
      <c r="I123" t="s">
        <v>45</v>
      </c>
    </row>
    <row r="124" spans="2:9" x14ac:dyDescent="0.2">
      <c r="B124" s="17" t="s">
        <v>6</v>
      </c>
      <c r="C124" s="3">
        <f>'Base Lease Info'!F26</f>
        <v>140</v>
      </c>
      <c r="D124" s="3">
        <f>'Base Lease Info'!G26</f>
        <v>90</v>
      </c>
      <c r="E124" s="3">
        <f>'Base Lease Info'!H26</f>
        <v>90</v>
      </c>
      <c r="F124" s="3">
        <f>'Base Lease Info'!I26</f>
        <v>85</v>
      </c>
      <c r="G124" s="39">
        <f t="shared" ref="G124:G125" si="19">E124+F124</f>
        <v>175</v>
      </c>
      <c r="I124" t="s">
        <v>46</v>
      </c>
    </row>
    <row r="125" spans="2:9" x14ac:dyDescent="0.2">
      <c r="B125" s="17" t="s">
        <v>3</v>
      </c>
      <c r="C125" s="3">
        <f>'Base Lease Info'!F27</f>
        <v>60</v>
      </c>
      <c r="D125" s="3">
        <f>'Base Lease Info'!G27</f>
        <v>40</v>
      </c>
      <c r="E125" s="3">
        <f>'Base Lease Info'!H27</f>
        <v>40</v>
      </c>
      <c r="F125" s="3">
        <f>'Base Lease Info'!I27</f>
        <v>40</v>
      </c>
      <c r="G125" s="39">
        <f t="shared" si="19"/>
        <v>80</v>
      </c>
      <c r="I125" t="s">
        <v>47</v>
      </c>
    </row>
    <row r="126" spans="2:9" x14ac:dyDescent="0.2">
      <c r="B126" s="17" t="s">
        <v>4</v>
      </c>
      <c r="C126" s="6">
        <f>$C101</f>
        <v>125</v>
      </c>
      <c r="D126" s="6">
        <f>D101</f>
        <v>125</v>
      </c>
      <c r="E126" s="6">
        <f t="shared" ref="E126:F126" si="20">E101</f>
        <v>62.5</v>
      </c>
      <c r="F126" s="6">
        <f t="shared" si="20"/>
        <v>62.5</v>
      </c>
      <c r="G126" s="38">
        <f>G101</f>
        <v>125</v>
      </c>
      <c r="I126" t="s">
        <v>60</v>
      </c>
    </row>
    <row r="127" spans="2:9" x14ac:dyDescent="0.2">
      <c r="B127" s="24" t="s">
        <v>44</v>
      </c>
      <c r="C127" s="14">
        <f>SUM(C123:C126)</f>
        <v>600</v>
      </c>
      <c r="D127" s="14">
        <f>SUM(D123:D126)</f>
        <v>405</v>
      </c>
      <c r="E127" s="14">
        <f t="shared" ref="E127" si="21">SUM(E123:E126)</f>
        <v>332.5</v>
      </c>
      <c r="F127" s="14">
        <f>SUM(F123:F126)</f>
        <v>337.5</v>
      </c>
      <c r="G127" s="39">
        <f>SUM(G123:G126)</f>
        <v>670</v>
      </c>
      <c r="I127" t="s">
        <v>61</v>
      </c>
    </row>
    <row r="128" spans="2:9" x14ac:dyDescent="0.2">
      <c r="B128" s="17"/>
      <c r="C128" s="2"/>
      <c r="D128" s="2"/>
      <c r="E128" s="2"/>
      <c r="F128" s="2"/>
      <c r="G128" s="78"/>
    </row>
    <row r="129" spans="2:9" x14ac:dyDescent="0.2">
      <c r="B129" s="18" t="s">
        <v>8</v>
      </c>
      <c r="C129" s="3">
        <f>C111</f>
        <v>450</v>
      </c>
      <c r="D129" s="3">
        <f t="shared" ref="D129:G129" si="22">D111</f>
        <v>315</v>
      </c>
      <c r="E129" s="3">
        <f t="shared" si="22"/>
        <v>247</v>
      </c>
      <c r="F129" s="3">
        <f t="shared" si="22"/>
        <v>245</v>
      </c>
      <c r="G129" s="39">
        <f t="shared" si="22"/>
        <v>492</v>
      </c>
      <c r="I129" s="25" t="s">
        <v>67</v>
      </c>
    </row>
    <row r="130" spans="2:9" x14ac:dyDescent="0.2">
      <c r="B130" s="17" t="s">
        <v>9</v>
      </c>
      <c r="C130" s="5">
        <f>SUM(C123:C126)</f>
        <v>600</v>
      </c>
      <c r="D130" s="5">
        <f>SUM(D123:D126)</f>
        <v>405</v>
      </c>
      <c r="E130" s="5">
        <f t="shared" ref="E130" si="23">SUM(E123:E126)</f>
        <v>332.5</v>
      </c>
      <c r="F130" s="5">
        <f>SUM(F123:F126)</f>
        <v>337.5</v>
      </c>
      <c r="G130" s="39">
        <f>SUM(G123:G126)</f>
        <v>670</v>
      </c>
    </row>
    <row r="131" spans="2:9" x14ac:dyDescent="0.2">
      <c r="B131" s="21" t="s">
        <v>7</v>
      </c>
      <c r="C131" s="10">
        <f>C129-C130</f>
        <v>-150</v>
      </c>
      <c r="D131" s="10">
        <f>D129-D130</f>
        <v>-90</v>
      </c>
      <c r="E131" s="10">
        <f>E129-E130</f>
        <v>-85.5</v>
      </c>
      <c r="F131" s="10">
        <f t="shared" ref="F131:G131" si="24">F129-F130</f>
        <v>-92.5</v>
      </c>
      <c r="G131" s="36">
        <f t="shared" si="24"/>
        <v>-178</v>
      </c>
      <c r="I131" t="s">
        <v>50</v>
      </c>
    </row>
    <row r="132" spans="2:9" ht="13.5" thickBot="1" x14ac:dyDescent="0.25">
      <c r="B132" s="91" t="s">
        <v>25</v>
      </c>
      <c r="C132" s="328">
        <f>IF('Base Lease Info'!F12='Base Lease Info'!L76,C131*'Base Lease Info'!F8 + D131*'Base Lease Info'!G8 + E131*'Base Lease Info'!H8 + F131*'Base Lease Info'!H8,C131*'Base Lease Info'!F8 + D131*'Base Lease Info'!G8 + G131*'Base Lease Info'!J8)</f>
        <v>-142</v>
      </c>
      <c r="D132" s="329"/>
      <c r="E132" s="329"/>
      <c r="F132" s="329"/>
      <c r="G132" s="330"/>
      <c r="I132" t="s">
        <v>51</v>
      </c>
    </row>
    <row r="133" spans="2:9" ht="13.5" thickTop="1" x14ac:dyDescent="0.2"/>
    <row r="134" spans="2:9" x14ac:dyDescent="0.2">
      <c r="B134" s="1" t="s">
        <v>59</v>
      </c>
    </row>
    <row r="136" spans="2:9" ht="13.5" thickBot="1" x14ac:dyDescent="0.25"/>
    <row r="137" spans="2:9" ht="17.25" thickTop="1" thickBot="1" x14ac:dyDescent="0.3">
      <c r="B137" s="334" t="s">
        <v>105</v>
      </c>
      <c r="C137" s="335"/>
      <c r="D137" s="335"/>
      <c r="E137" s="335"/>
      <c r="F137" s="335"/>
      <c r="G137" s="336"/>
      <c r="I137" s="7"/>
    </row>
    <row r="138" spans="2:9" ht="13.5" thickTop="1" x14ac:dyDescent="0.2">
      <c r="B138" s="68" t="s">
        <v>14</v>
      </c>
      <c r="C138" s="337"/>
      <c r="D138" s="337"/>
      <c r="E138" s="131"/>
      <c r="F138" s="131"/>
      <c r="G138" s="69"/>
      <c r="I138" s="7" t="s">
        <v>18</v>
      </c>
    </row>
    <row r="139" spans="2:9" x14ac:dyDescent="0.2">
      <c r="B139" s="17" t="s">
        <v>31</v>
      </c>
      <c r="C139" s="331">
        <f>'Base Lease Info'!F21</f>
        <v>150</v>
      </c>
      <c r="D139" s="332"/>
      <c r="E139" s="332"/>
      <c r="F139" s="332"/>
      <c r="G139" s="333"/>
      <c r="I139" s="7"/>
    </row>
    <row r="140" spans="2:9" x14ac:dyDescent="0.2">
      <c r="B140" s="17" t="s">
        <v>10</v>
      </c>
      <c r="C140" s="331">
        <f>'Base Lease Info'!F10</f>
        <v>125</v>
      </c>
      <c r="D140" s="332"/>
      <c r="E140" s="332"/>
      <c r="F140" s="332"/>
      <c r="G140" s="333"/>
      <c r="H140" s="15"/>
      <c r="I140" s="11"/>
    </row>
    <row r="141" spans="2:9" x14ac:dyDescent="0.2">
      <c r="B141" s="17" t="s">
        <v>32</v>
      </c>
      <c r="C141" s="331" t="str">
        <f>'Base Lease Info'!F11</f>
        <v>No</v>
      </c>
      <c r="D141" s="332"/>
      <c r="E141" s="332"/>
      <c r="F141" s="332"/>
      <c r="G141" s="333"/>
      <c r="H141" s="15"/>
      <c r="I141" s="11" t="s">
        <v>62</v>
      </c>
    </row>
    <row r="142" spans="2:9" x14ac:dyDescent="0.2">
      <c r="B142" s="27"/>
      <c r="C142" s="12" t="s">
        <v>22</v>
      </c>
      <c r="D142" s="12" t="s">
        <v>23</v>
      </c>
      <c r="E142" s="12" t="s">
        <v>73</v>
      </c>
      <c r="F142" s="12" t="s">
        <v>74</v>
      </c>
      <c r="G142" s="35" t="s">
        <v>76</v>
      </c>
      <c r="H142" s="15"/>
      <c r="I142" s="11"/>
    </row>
    <row r="143" spans="2:9" x14ac:dyDescent="0.2">
      <c r="B143" s="80" t="s">
        <v>12</v>
      </c>
      <c r="C143" s="31">
        <f>'Base Lease Info'!F17</f>
        <v>0.35</v>
      </c>
      <c r="D143" s="31">
        <f>'Base Lease Info'!G17</f>
        <v>0.4</v>
      </c>
      <c r="E143" s="31">
        <f>'Base Lease Info'!H17</f>
        <v>0.35</v>
      </c>
      <c r="F143" s="31">
        <f>'Base Lease Info'!I17</f>
        <v>0.35</v>
      </c>
      <c r="G143" s="71">
        <f>E143*(E149/G149) + F143*(F149/G149)</f>
        <v>0.35</v>
      </c>
      <c r="H143" s="15"/>
      <c r="I143" s="11" t="s">
        <v>39</v>
      </c>
    </row>
    <row r="144" spans="2:9" ht="15.75" x14ac:dyDescent="0.25">
      <c r="B144" s="19" t="s">
        <v>91</v>
      </c>
      <c r="C144" s="9">
        <f>IF($C$141='Base Lease Info'!$J$75,C172*C143,IF(C172*C143&gt;$C$140,C172*C143,$C$140))</f>
        <v>157.5</v>
      </c>
      <c r="D144" s="9">
        <f>IF($C$141='Base Lease Info'!$J$75,D172*D143,IF(D172*D143&gt;$C$140,D172*D143,$C$140))</f>
        <v>126</v>
      </c>
      <c r="E144" s="9">
        <f>IF($C$141='Base Lease Info'!$J$75,E172*E143,IF(E172*E143&gt;$C$140/2,E172*E143,$C$140/2))</f>
        <v>86.449999999999989</v>
      </c>
      <c r="F144" s="9">
        <f>IF($C$141='Base Lease Info'!$J$75,F172*F143,IF(F172*F143&gt;$C$140/2,F172*F143,$C$140/2))</f>
        <v>85.75</v>
      </c>
      <c r="G144" s="72">
        <f>IF($C$141='Base Lease Info'!$J$75,G172*G143,IF(G172*G143&gt;$C$140,G172*G143,$C$140))</f>
        <v>172.2</v>
      </c>
      <c r="I144" t="s">
        <v>40</v>
      </c>
    </row>
    <row r="145" spans="2:9" ht="15.75" x14ac:dyDescent="0.25">
      <c r="B145" s="19" t="s">
        <v>58</v>
      </c>
      <c r="C145" s="323">
        <f>IF('Base Lease Info'!F12='Base Lease Info'!L75,C144*'Base Lease Info'!F8 + D144*'Base Lease Info'!G8 + G144*'Base Lease Info'!J8, C144*'Base Lease Info'!F8 + D144*'Base Lease Info'!G8 + E144*'Base Lease Info'!H8 + F144*'Base Lease Info'!H8)</f>
        <v>153.30000000000001</v>
      </c>
      <c r="D145" s="323"/>
      <c r="E145" s="323"/>
      <c r="F145" s="323"/>
      <c r="G145" s="324"/>
      <c r="I145" t="s">
        <v>48</v>
      </c>
    </row>
    <row r="146" spans="2:9" x14ac:dyDescent="0.2">
      <c r="B146" s="17" t="s">
        <v>19</v>
      </c>
      <c r="C146" s="325">
        <f>C145/$C139-1</f>
        <v>2.200000000000002E-2</v>
      </c>
      <c r="D146" s="326"/>
      <c r="E146" s="326"/>
      <c r="F146" s="326"/>
      <c r="G146" s="327"/>
      <c r="I146" t="s">
        <v>49</v>
      </c>
    </row>
    <row r="147" spans="2:9" x14ac:dyDescent="0.2">
      <c r="B147" s="17"/>
      <c r="C147" s="8"/>
      <c r="D147" s="8"/>
      <c r="E147" s="8"/>
      <c r="F147" s="8"/>
      <c r="G147" s="73"/>
    </row>
    <row r="148" spans="2:9" x14ac:dyDescent="0.2">
      <c r="B148" s="20" t="s">
        <v>20</v>
      </c>
      <c r="C148" s="12" t="s">
        <v>22</v>
      </c>
      <c r="D148" s="12" t="s">
        <v>23</v>
      </c>
      <c r="E148" s="12" t="s">
        <v>73</v>
      </c>
      <c r="F148" s="12" t="s">
        <v>74</v>
      </c>
      <c r="G148" s="35" t="s">
        <v>76</v>
      </c>
    </row>
    <row r="149" spans="2:9" x14ac:dyDescent="0.2">
      <c r="B149" s="17" t="s">
        <v>0</v>
      </c>
      <c r="C149" s="92">
        <f>'Base Lease Info'!B56</f>
        <v>120</v>
      </c>
      <c r="D149" s="92">
        <f>'Base Lease Info'!C56</f>
        <v>36</v>
      </c>
      <c r="E149" s="92">
        <f>'Base Lease Info'!E56</f>
        <v>52</v>
      </c>
      <c r="F149" s="92">
        <f>'Base Lease Info'!D56</f>
        <v>28</v>
      </c>
      <c r="G149" s="140">
        <f>E149+F149</f>
        <v>80</v>
      </c>
      <c r="I149" t="s">
        <v>26</v>
      </c>
    </row>
    <row r="150" spans="2:9" x14ac:dyDescent="0.2">
      <c r="B150" s="17" t="s">
        <v>21</v>
      </c>
      <c r="C150" s="26">
        <f>'Base Lease Info'!F5</f>
        <v>3.75</v>
      </c>
      <c r="D150" s="26">
        <f>'Base Lease Info'!G5</f>
        <v>8.75</v>
      </c>
      <c r="E150" s="26">
        <f>'Base Lease Info'!H5</f>
        <v>4.75</v>
      </c>
      <c r="F150" s="26">
        <f>'Base Lease Info'!I5</f>
        <v>8.75</v>
      </c>
      <c r="G150" s="75">
        <f>E150*(E149/G149) + F150*(F149/G149)</f>
        <v>6.15</v>
      </c>
      <c r="I150" t="s">
        <v>27</v>
      </c>
    </row>
    <row r="151" spans="2:9" x14ac:dyDescent="0.2">
      <c r="B151" s="17" t="s">
        <v>5</v>
      </c>
      <c r="C151" s="3">
        <f>C149*C150</f>
        <v>450</v>
      </c>
      <c r="D151" s="3">
        <f>D149*D150</f>
        <v>315</v>
      </c>
      <c r="E151" s="3">
        <f t="shared" ref="E151:F151" si="25">E149*E150</f>
        <v>247</v>
      </c>
      <c r="F151" s="3">
        <f t="shared" si="25"/>
        <v>245</v>
      </c>
      <c r="G151" s="46">
        <f>G149*G150</f>
        <v>492</v>
      </c>
      <c r="I151" t="s">
        <v>41</v>
      </c>
    </row>
    <row r="152" spans="2:9" x14ac:dyDescent="0.2">
      <c r="B152" s="17" t="s">
        <v>13</v>
      </c>
      <c r="C152" s="3">
        <f>IF('Base Lease Info'!$F6='Base Lease Info'!$J$75,$C162,0)</f>
        <v>0</v>
      </c>
      <c r="D152" s="3">
        <f>IF('Base Lease Info'!$F6='Base Lease Info'!$J$75,$C162,0)</f>
        <v>0</v>
      </c>
      <c r="E152" s="3">
        <f>IF('Base Lease Info'!$F6='Base Lease Info'!$J$75,$C162,0)</f>
        <v>0</v>
      </c>
      <c r="F152" s="3">
        <f>IF('Base Lease Info'!$F6='Base Lease Info'!$J$75,$C162,0)</f>
        <v>0</v>
      </c>
      <c r="G152" s="39">
        <f>IF('Base Lease Info'!$F6='Base Lease Info'!$J$75,$C162,0)</f>
        <v>0</v>
      </c>
      <c r="I152" s="25" t="s">
        <v>63</v>
      </c>
    </row>
    <row r="153" spans="2:9" x14ac:dyDescent="0.2">
      <c r="B153" s="27" t="s">
        <v>107</v>
      </c>
      <c r="C153" s="6">
        <f>'Base Lease Info'!E80</f>
        <v>0</v>
      </c>
      <c r="D153" s="6">
        <f>'Base Lease Info'!F80</f>
        <v>0</v>
      </c>
      <c r="E153" s="6">
        <f>'Base Lease Info'!G80</f>
        <v>0</v>
      </c>
      <c r="F153" s="6">
        <f>'Base Lease Info'!H80</f>
        <v>0</v>
      </c>
      <c r="G153" s="38">
        <f>'Base Lease Info'!I80</f>
        <v>0</v>
      </c>
      <c r="I153" s="25"/>
    </row>
    <row r="154" spans="2:9" x14ac:dyDescent="0.2">
      <c r="B154" s="24" t="s">
        <v>43</v>
      </c>
      <c r="C154" s="14">
        <f>SUM(C151:C153)</f>
        <v>450</v>
      </c>
      <c r="D154" s="14">
        <f t="shared" ref="D154:G154" si="26">SUM(D151:D153)</f>
        <v>315</v>
      </c>
      <c r="E154" s="14">
        <f t="shared" si="26"/>
        <v>247</v>
      </c>
      <c r="F154" s="14">
        <f t="shared" si="26"/>
        <v>245</v>
      </c>
      <c r="G154" s="76">
        <f t="shared" si="26"/>
        <v>492</v>
      </c>
      <c r="I154" t="s">
        <v>42</v>
      </c>
    </row>
    <row r="155" spans="2:9" x14ac:dyDescent="0.2">
      <c r="B155" s="24"/>
      <c r="C155" s="14"/>
      <c r="D155" s="14"/>
      <c r="E155" s="14"/>
      <c r="F155" s="14"/>
      <c r="G155" s="76"/>
    </row>
    <row r="156" spans="2:9" x14ac:dyDescent="0.2">
      <c r="B156" s="40" t="s">
        <v>79</v>
      </c>
      <c r="C156" s="14"/>
      <c r="D156" s="14"/>
      <c r="E156" s="14"/>
      <c r="F156" s="14"/>
      <c r="G156" s="76"/>
    </row>
    <row r="157" spans="2:9" x14ac:dyDescent="0.2">
      <c r="B157" s="27" t="s">
        <v>81</v>
      </c>
      <c r="C157" s="95">
        <f>'Base Lease Info'!E83</f>
        <v>0.8</v>
      </c>
      <c r="D157" s="96"/>
      <c r="E157" s="96"/>
      <c r="F157" s="4"/>
      <c r="G157" s="37"/>
    </row>
    <row r="158" spans="2:9" x14ac:dyDescent="0.2">
      <c r="B158" s="27" t="s">
        <v>80</v>
      </c>
      <c r="C158" s="95">
        <f>'Base Lease Info'!E84</f>
        <v>0.5</v>
      </c>
      <c r="D158" s="95">
        <f>'Base Lease Info'!F84</f>
        <v>0.4</v>
      </c>
      <c r="E158" s="95">
        <f>'Base Lease Info'!G84</f>
        <v>9.9999999999999978E-2</v>
      </c>
      <c r="F158" s="3"/>
      <c r="G158" s="39"/>
    </row>
    <row r="159" spans="2:9" x14ac:dyDescent="0.2">
      <c r="B159" s="27" t="s">
        <v>82</v>
      </c>
      <c r="C159" s="93">
        <f>'Base Lease Info'!E85</f>
        <v>3.7</v>
      </c>
      <c r="D159" s="93">
        <f>'Base Lease Info'!F85</f>
        <v>8.4</v>
      </c>
      <c r="E159" s="93">
        <f>'Base Lease Info'!G85</f>
        <v>5.5</v>
      </c>
      <c r="F159" s="3"/>
      <c r="G159" s="39"/>
    </row>
    <row r="160" spans="2:9" x14ac:dyDescent="0.2">
      <c r="B160" s="27" t="s">
        <v>83</v>
      </c>
      <c r="C160" s="97">
        <f>'Base Lease Info'!E86</f>
        <v>155</v>
      </c>
      <c r="D160" s="97">
        <f>'Base Lease Info'!F86</f>
        <v>48</v>
      </c>
      <c r="E160" s="97">
        <f>'Base Lease Info'!G86</f>
        <v>60</v>
      </c>
      <c r="F160" s="28"/>
      <c r="G160" s="77"/>
    </row>
    <row r="161" spans="2:9" x14ac:dyDescent="0.2">
      <c r="B161" s="27" t="s">
        <v>84</v>
      </c>
      <c r="C161" s="3">
        <f>IF(C150&lt;C159,(C159-C150)*C160*0.85,0)</f>
        <v>0</v>
      </c>
      <c r="D161" s="3">
        <f t="shared" ref="D161:E161" si="27">IF(D150&lt;D159,(D159-D150)*D160*0.85,0)</f>
        <v>0</v>
      </c>
      <c r="E161" s="3">
        <f t="shared" si="27"/>
        <v>38.25</v>
      </c>
      <c r="F161" s="28"/>
      <c r="G161" s="77"/>
    </row>
    <row r="162" spans="2:9" x14ac:dyDescent="0.2">
      <c r="B162" s="27" t="s">
        <v>85</v>
      </c>
      <c r="C162" s="320">
        <f>(C161*C158+D161*D158+E161*E158)*C157</f>
        <v>3.0599999999999996</v>
      </c>
      <c r="D162" s="321"/>
      <c r="E162" s="322"/>
      <c r="F162" s="3"/>
      <c r="G162" s="39"/>
    </row>
    <row r="163" spans="2:9" x14ac:dyDescent="0.2">
      <c r="B163" s="27"/>
      <c r="C163" s="29"/>
      <c r="D163" s="3"/>
      <c r="E163" s="3"/>
      <c r="F163" s="3"/>
      <c r="G163" s="39"/>
    </row>
    <row r="164" spans="2:9" x14ac:dyDescent="0.2">
      <c r="B164" s="17"/>
      <c r="C164" s="2"/>
      <c r="D164" s="2"/>
      <c r="E164" s="2"/>
      <c r="F164" s="2"/>
      <c r="G164" s="78"/>
    </row>
    <row r="165" spans="2:9" x14ac:dyDescent="0.2">
      <c r="B165" s="16" t="s">
        <v>1</v>
      </c>
      <c r="C165" s="2"/>
      <c r="D165" s="2"/>
      <c r="E165" s="2"/>
      <c r="F165" s="2"/>
      <c r="G165" s="78"/>
    </row>
    <row r="166" spans="2:9" x14ac:dyDescent="0.2">
      <c r="B166" s="17" t="s">
        <v>2</v>
      </c>
      <c r="C166" s="3">
        <f>'Base Lease Info'!F25</f>
        <v>275</v>
      </c>
      <c r="D166" s="3">
        <f>'Base Lease Info'!G25</f>
        <v>150</v>
      </c>
      <c r="E166" s="3">
        <f>'Base Lease Info'!H25</f>
        <v>140</v>
      </c>
      <c r="F166" s="3">
        <f>'Base Lease Info'!I25</f>
        <v>150</v>
      </c>
      <c r="G166" s="39">
        <f>E166+F166</f>
        <v>290</v>
      </c>
      <c r="I166" t="s">
        <v>45</v>
      </c>
    </row>
    <row r="167" spans="2:9" x14ac:dyDescent="0.2">
      <c r="B167" s="17" t="s">
        <v>6</v>
      </c>
      <c r="C167" s="3">
        <f>'Base Lease Info'!F26</f>
        <v>140</v>
      </c>
      <c r="D167" s="3">
        <f>'Base Lease Info'!G26</f>
        <v>90</v>
      </c>
      <c r="E167" s="3">
        <f>'Base Lease Info'!H26</f>
        <v>90</v>
      </c>
      <c r="F167" s="3">
        <f>'Base Lease Info'!I26</f>
        <v>85</v>
      </c>
      <c r="G167" s="39">
        <f t="shared" ref="G167:G168" si="28">E167+F167</f>
        <v>175</v>
      </c>
      <c r="I167" t="s">
        <v>46</v>
      </c>
    </row>
    <row r="168" spans="2:9" x14ac:dyDescent="0.2">
      <c r="B168" s="17" t="s">
        <v>3</v>
      </c>
      <c r="C168" s="3">
        <f>'Base Lease Info'!F27</f>
        <v>60</v>
      </c>
      <c r="D168" s="3">
        <f>'Base Lease Info'!G27</f>
        <v>40</v>
      </c>
      <c r="E168" s="3">
        <f>'Base Lease Info'!H27</f>
        <v>40</v>
      </c>
      <c r="F168" s="3">
        <f>'Base Lease Info'!I27</f>
        <v>40</v>
      </c>
      <c r="G168" s="39">
        <f t="shared" si="28"/>
        <v>80</v>
      </c>
      <c r="I168" t="s">
        <v>47</v>
      </c>
    </row>
    <row r="169" spans="2:9" x14ac:dyDescent="0.2">
      <c r="B169" s="18" t="s">
        <v>4</v>
      </c>
      <c r="C169" s="6">
        <f>$C144</f>
        <v>157.5</v>
      </c>
      <c r="D169" s="6">
        <f>D144</f>
        <v>126</v>
      </c>
      <c r="E169" s="6">
        <f>E144</f>
        <v>86.449999999999989</v>
      </c>
      <c r="F169" s="6">
        <f>F144</f>
        <v>85.75</v>
      </c>
      <c r="G169" s="38">
        <f>G144</f>
        <v>172.2</v>
      </c>
      <c r="I169" t="s">
        <v>60</v>
      </c>
    </row>
    <row r="170" spans="2:9" x14ac:dyDescent="0.2">
      <c r="B170" s="24" t="s">
        <v>44</v>
      </c>
      <c r="C170" s="14">
        <f>SUM(C166:C169)</f>
        <v>632.5</v>
      </c>
      <c r="D170" s="14">
        <f>SUM(D166:D169)</f>
        <v>406</v>
      </c>
      <c r="E170" s="14">
        <f t="shared" ref="E170" si="29">SUM(E166:E169)</f>
        <v>356.45</v>
      </c>
      <c r="F170" s="14">
        <f>SUM(F166:F169)</f>
        <v>360.75</v>
      </c>
      <c r="G170" s="39">
        <f>SUM(G166:G169)</f>
        <v>717.2</v>
      </c>
      <c r="I170" t="s">
        <v>61</v>
      </c>
    </row>
    <row r="171" spans="2:9" x14ac:dyDescent="0.2">
      <c r="B171" s="17"/>
      <c r="C171" s="2"/>
      <c r="D171" s="2"/>
      <c r="E171" s="2"/>
      <c r="F171" s="2"/>
      <c r="G171" s="78"/>
    </row>
    <row r="172" spans="2:9" x14ac:dyDescent="0.2">
      <c r="B172" s="17" t="s">
        <v>8</v>
      </c>
      <c r="C172" s="3">
        <f>C154</f>
        <v>450</v>
      </c>
      <c r="D172" s="3">
        <f t="shared" ref="D172:G172" si="30">D154</f>
        <v>315</v>
      </c>
      <c r="E172" s="3">
        <f t="shared" si="30"/>
        <v>247</v>
      </c>
      <c r="F172" s="3">
        <f t="shared" si="30"/>
        <v>245</v>
      </c>
      <c r="G172" s="39">
        <f t="shared" si="30"/>
        <v>492</v>
      </c>
      <c r="I172" s="25" t="s">
        <v>67</v>
      </c>
    </row>
    <row r="173" spans="2:9" x14ac:dyDescent="0.2">
      <c r="B173" s="17" t="s">
        <v>9</v>
      </c>
      <c r="C173" s="5">
        <f>SUM(C166:C169)</f>
        <v>632.5</v>
      </c>
      <c r="D173" s="5">
        <f t="shared" ref="D173:G173" si="31">SUM(D166:D169)</f>
        <v>406</v>
      </c>
      <c r="E173" s="5">
        <f t="shared" si="31"/>
        <v>356.45</v>
      </c>
      <c r="F173" s="5">
        <f t="shared" si="31"/>
        <v>360.75</v>
      </c>
      <c r="G173" s="85">
        <f t="shared" si="31"/>
        <v>717.2</v>
      </c>
    </row>
    <row r="174" spans="2:9" x14ac:dyDescent="0.2">
      <c r="B174" s="21" t="s">
        <v>7</v>
      </c>
      <c r="C174" s="10">
        <f>C172-C173</f>
        <v>-182.5</v>
      </c>
      <c r="D174" s="10">
        <f>D172-D173</f>
        <v>-91</v>
      </c>
      <c r="E174" s="10">
        <f>E172-E173</f>
        <v>-109.44999999999999</v>
      </c>
      <c r="F174" s="10">
        <f t="shared" ref="F174:G174" si="32">F172-F173</f>
        <v>-115.75</v>
      </c>
      <c r="G174" s="36">
        <f t="shared" si="32"/>
        <v>-225.20000000000005</v>
      </c>
      <c r="I174" t="s">
        <v>50</v>
      </c>
    </row>
    <row r="175" spans="2:9" ht="13.5" thickBot="1" x14ac:dyDescent="0.25">
      <c r="B175" s="22" t="s">
        <v>25</v>
      </c>
      <c r="C175" s="328">
        <f>IF('Base Lease Info'!F12='Base Lease Info'!L76,C174*'Base Lease Info'!F8 + D174*'Base Lease Info'!G8 + E174*'Base Lease Info'!H8 + F174*'Base Lease Info'!H8,C174*'Base Lease Info'!F8 + D174*'Base Lease Info'!G8 + G174*'Base Lease Info'!J8)</f>
        <v>-170.3</v>
      </c>
      <c r="D175" s="329"/>
      <c r="E175" s="329"/>
      <c r="F175" s="329"/>
      <c r="G175" s="330"/>
      <c r="I175" t="s">
        <v>51</v>
      </c>
    </row>
    <row r="176" spans="2:9" ht="13.5" thickTop="1" x14ac:dyDescent="0.2"/>
    <row r="177" spans="2:2" x14ac:dyDescent="0.2">
      <c r="B177" s="1" t="s">
        <v>59</v>
      </c>
    </row>
  </sheetData>
  <mergeCells count="36">
    <mergeCell ref="C50:G50"/>
    <mergeCell ref="B2:G2"/>
    <mergeCell ref="C3:D3"/>
    <mergeCell ref="C4:G4"/>
    <mergeCell ref="C5:G5"/>
    <mergeCell ref="C6:G6"/>
    <mergeCell ref="C13:G13"/>
    <mergeCell ref="C14:G14"/>
    <mergeCell ref="C30:E30"/>
    <mergeCell ref="C43:G43"/>
    <mergeCell ref="B48:G48"/>
    <mergeCell ref="C49:D49"/>
    <mergeCell ref="C102:G102"/>
    <mergeCell ref="C51:G51"/>
    <mergeCell ref="C52:G52"/>
    <mergeCell ref="C56:G56"/>
    <mergeCell ref="C57:G57"/>
    <mergeCell ref="C73:E73"/>
    <mergeCell ref="C86:G86"/>
    <mergeCell ref="B91:G91"/>
    <mergeCell ref="C92:D92"/>
    <mergeCell ref="C93:G93"/>
    <mergeCell ref="C94:G94"/>
    <mergeCell ref="C95:G95"/>
    <mergeCell ref="C175:G175"/>
    <mergeCell ref="C103:G103"/>
    <mergeCell ref="C119:E119"/>
    <mergeCell ref="C132:G132"/>
    <mergeCell ref="B137:G137"/>
    <mergeCell ref="C138:D138"/>
    <mergeCell ref="C139:G139"/>
    <mergeCell ref="C140:G140"/>
    <mergeCell ref="C141:G141"/>
    <mergeCell ref="C145:G145"/>
    <mergeCell ref="C146:G146"/>
    <mergeCell ref="C162:E162"/>
  </mergeCells>
  <pageMargins left="0.75" right="0.75" top="1" bottom="1" header="0.5" footer="0.5"/>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77"/>
  <sheetViews>
    <sheetView showGridLines="0" zoomScale="115" zoomScaleNormal="115" workbookViewId="0">
      <selection activeCell="F150" sqref="F150"/>
    </sheetView>
  </sheetViews>
  <sheetFormatPr defaultRowHeight="12.75" x14ac:dyDescent="0.2"/>
  <cols>
    <col min="1" max="1" width="2.42578125" customWidth="1"/>
    <col min="2" max="2" width="38.85546875" customWidth="1"/>
    <col min="3" max="3" width="12.140625" bestFit="1" customWidth="1"/>
    <col min="4" max="7" width="9.7109375" customWidth="1"/>
    <col min="8" max="8" width="3.42578125" customWidth="1"/>
    <col min="9" max="9" width="59.28515625" customWidth="1"/>
  </cols>
  <sheetData>
    <row r="1" spans="2:10" ht="13.5" thickBot="1" x14ac:dyDescent="0.25"/>
    <row r="2" spans="2:10" ht="17.25" thickTop="1" thickBot="1" x14ac:dyDescent="0.3">
      <c r="B2" s="334" t="s">
        <v>102</v>
      </c>
      <c r="C2" s="335"/>
      <c r="D2" s="335"/>
      <c r="E2" s="335"/>
      <c r="F2" s="335"/>
      <c r="G2" s="336"/>
      <c r="I2" s="7"/>
    </row>
    <row r="3" spans="2:10" ht="13.5" thickTop="1" x14ac:dyDescent="0.2">
      <c r="B3" s="68" t="s">
        <v>14</v>
      </c>
      <c r="C3" s="337"/>
      <c r="D3" s="337"/>
      <c r="E3" s="131"/>
      <c r="F3" s="131"/>
      <c r="G3" s="69"/>
      <c r="I3" s="7" t="s">
        <v>18</v>
      </c>
    </row>
    <row r="4" spans="2:10" x14ac:dyDescent="0.2">
      <c r="B4" s="17" t="s">
        <v>31</v>
      </c>
      <c r="C4" s="331">
        <f>'Base Lease Info'!F21</f>
        <v>150</v>
      </c>
      <c r="D4" s="332"/>
      <c r="E4" s="332"/>
      <c r="F4" s="332"/>
      <c r="G4" s="333"/>
      <c r="I4" s="7"/>
    </row>
    <row r="5" spans="2:10" x14ac:dyDescent="0.2">
      <c r="B5" s="17" t="s">
        <v>10</v>
      </c>
      <c r="C5" s="338">
        <f>'Base Lease Info'!F10</f>
        <v>125</v>
      </c>
      <c r="D5" s="339"/>
      <c r="E5" s="339"/>
      <c r="F5" s="339"/>
      <c r="G5" s="340"/>
      <c r="H5" s="15"/>
      <c r="I5" s="11"/>
    </row>
    <row r="6" spans="2:10" x14ac:dyDescent="0.2">
      <c r="B6" s="17" t="s">
        <v>32</v>
      </c>
      <c r="C6" s="331" t="str">
        <f>'Base Lease Info'!F11</f>
        <v>No</v>
      </c>
      <c r="D6" s="332"/>
      <c r="E6" s="332"/>
      <c r="F6" s="332"/>
      <c r="G6" s="333"/>
      <c r="H6" s="15"/>
      <c r="I6" s="11" t="s">
        <v>62</v>
      </c>
    </row>
    <row r="7" spans="2:10" x14ac:dyDescent="0.2">
      <c r="B7" s="17"/>
      <c r="C7" s="12" t="s">
        <v>22</v>
      </c>
      <c r="D7" s="12" t="s">
        <v>23</v>
      </c>
      <c r="E7" s="12" t="s">
        <v>73</v>
      </c>
      <c r="F7" s="12" t="s">
        <v>74</v>
      </c>
      <c r="G7" s="35" t="s">
        <v>76</v>
      </c>
      <c r="H7" s="15"/>
      <c r="I7" s="11"/>
    </row>
    <row r="8" spans="2:10" x14ac:dyDescent="0.2">
      <c r="B8" s="17" t="s">
        <v>28</v>
      </c>
      <c r="C8" s="13">
        <f>SUM('Base Lease Info'!F25:F27) + $C5</f>
        <v>600</v>
      </c>
      <c r="D8" s="13">
        <f>SUM('Base Lease Info'!G25:G27) + $C5</f>
        <v>405</v>
      </c>
      <c r="E8" s="13">
        <f>SUM('Base Lease Info'!H25:H27) + $C5</f>
        <v>395</v>
      </c>
      <c r="F8" s="13">
        <f>SUM('Base Lease Info'!I25:I27) + $C5</f>
        <v>400</v>
      </c>
      <c r="G8" s="70">
        <f>E8+F8</f>
        <v>795</v>
      </c>
      <c r="H8" s="15"/>
      <c r="I8" s="11" t="s">
        <v>54</v>
      </c>
    </row>
    <row r="9" spans="2:10" x14ac:dyDescent="0.2">
      <c r="B9" s="17" t="s">
        <v>11</v>
      </c>
      <c r="C9" s="30">
        <f>'Base Lease Info'!F16</f>
        <v>475</v>
      </c>
      <c r="D9" s="30">
        <f>'Base Lease Info'!G16</f>
        <v>325</v>
      </c>
      <c r="E9" s="30">
        <f>'Base Lease Info'!H16</f>
        <v>325</v>
      </c>
      <c r="F9" s="30">
        <f>'Base Lease Info'!I16</f>
        <v>250</v>
      </c>
      <c r="G9" s="70">
        <f>E9+F9</f>
        <v>575</v>
      </c>
      <c r="I9" s="11" t="s">
        <v>38</v>
      </c>
      <c r="J9" s="1"/>
    </row>
    <row r="10" spans="2:10" x14ac:dyDescent="0.2">
      <c r="B10" s="18" t="s">
        <v>12</v>
      </c>
      <c r="C10" s="31">
        <f>'Base Lease Info'!F17</f>
        <v>0.35</v>
      </c>
      <c r="D10" s="31">
        <f>'Base Lease Info'!G17</f>
        <v>0.4</v>
      </c>
      <c r="E10" s="31">
        <f>'Base Lease Info'!H17</f>
        <v>0.35</v>
      </c>
      <c r="F10" s="31">
        <f>'Base Lease Info'!I17</f>
        <v>0.35</v>
      </c>
      <c r="G10" s="71">
        <f>E10*(E17/G17) + F10*(F17/G17)</f>
        <v>0.35</v>
      </c>
      <c r="H10" s="15"/>
      <c r="I10" s="11" t="s">
        <v>39</v>
      </c>
    </row>
    <row r="11" spans="2:10" x14ac:dyDescent="0.2">
      <c r="B11" s="18" t="s">
        <v>55</v>
      </c>
      <c r="C11" s="10">
        <f>IF($C6='Base Lease Info'!$J$75,(C19+C20-C9)*C10,IF((C19 + C20) &gt; C9,(C19+C20-C9)*C10,0))</f>
        <v>0</v>
      </c>
      <c r="D11" s="10">
        <f>IF($C6='Base Lease Info'!$J$75,(D19+D20-D9)*D10,IF((D19 + D20) &gt; D9,(D19+D20-D9)*D10,0))</f>
        <v>0</v>
      </c>
      <c r="E11" s="10">
        <f>IF($C6='Base Lease Info'!$J$75,(E19+E20-E9)*E10,IF((E19 + E20) &gt; E9,(E19+E20-E9)*E10,0))</f>
        <v>0</v>
      </c>
      <c r="F11" s="10">
        <f>IF($C6='Base Lease Info'!$J$75,(F19+F20-F9)*F10,IF((F19 + F20) &gt; F9,(F19+F20-F9)*F10,0))</f>
        <v>0</v>
      </c>
      <c r="G11" s="36">
        <f>IF($C6='Base Lease Info'!$J$75,(G19+G20-G9)*G10,IF((G19 + G20) &gt; G9,(G19+G20-G9)*G10,0))</f>
        <v>0</v>
      </c>
      <c r="H11" s="15"/>
      <c r="I11" s="11" t="s">
        <v>57</v>
      </c>
    </row>
    <row r="12" spans="2:10" ht="15.75" x14ac:dyDescent="0.25">
      <c r="B12" s="19" t="s">
        <v>56</v>
      </c>
      <c r="C12" s="9">
        <f>IF($C6='Base Lease Info'!$J$75,$C5+(C19+C20-C9)*C10,IF((C19 + C20) &gt; C9,$C5+(C19+C20-C9)*C10,$C5))</f>
        <v>125</v>
      </c>
      <c r="D12" s="9">
        <f>IF($C6='Base Lease Info'!$J$75,$C5+(D19+D20-D9)*D10,IF((D19 + D20) &gt; D9,$C5+(D19+D20-D9)*D10,$C5))</f>
        <v>125</v>
      </c>
      <c r="E12" s="9">
        <f>IF($C6='Base Lease Info'!$J$75,$C5/2+(E19+E20-E9)*E10,IF((E19 + E20) &gt; E9,$C5/2+(E19+E20-E9)*E10,$C5/2))</f>
        <v>62.5</v>
      </c>
      <c r="F12" s="9">
        <f>IF($C6='Base Lease Info'!$J$75,$C5/2+(F19+F20-F9)*F10,IF((F19 + F20) &gt; F9,$C5/2+(F19+F20-F9)*F10,$C5/2))</f>
        <v>62.5</v>
      </c>
      <c r="G12" s="72">
        <f>IF($C6='Base Lease Info'!$J$75,$C5+(G19+G20-G9)*G10,IF((G19 + G20) &gt; G9,$C5+(G19+G20-G9)*G10,$C5))</f>
        <v>125</v>
      </c>
      <c r="I12" t="s">
        <v>40</v>
      </c>
    </row>
    <row r="13" spans="2:10" ht="15.75" x14ac:dyDescent="0.25">
      <c r="B13" s="19" t="s">
        <v>58</v>
      </c>
      <c r="C13" s="323">
        <f>IF('Base Lease Info'!F12='Base Lease Info'!L75,C12*'Base Lease Info'!F8 + D12*'Base Lease Info'!G8 + G12*'Base Lease Info'!J8, C12*'Base Lease Info'!F8 + D12*'Base Lease Info'!G8 + E12*'Base Lease Info'!H8 + F12*'Base Lease Info'!H8)</f>
        <v>125</v>
      </c>
      <c r="D13" s="323"/>
      <c r="E13" s="323"/>
      <c r="F13" s="323"/>
      <c r="G13" s="324"/>
      <c r="I13" t="s">
        <v>48</v>
      </c>
    </row>
    <row r="14" spans="2:10" x14ac:dyDescent="0.2">
      <c r="B14" s="17" t="s">
        <v>19</v>
      </c>
      <c r="C14" s="325">
        <f>C13/$C4-1</f>
        <v>-0.16666666666666663</v>
      </c>
      <c r="D14" s="326"/>
      <c r="E14" s="326"/>
      <c r="F14" s="326"/>
      <c r="G14" s="327"/>
      <c r="I14" t="s">
        <v>49</v>
      </c>
    </row>
    <row r="15" spans="2:10" x14ac:dyDescent="0.2">
      <c r="B15" s="17"/>
      <c r="C15" s="8"/>
      <c r="D15" s="8"/>
      <c r="E15" s="8"/>
      <c r="F15" s="8"/>
      <c r="G15" s="73"/>
    </row>
    <row r="16" spans="2:10" x14ac:dyDescent="0.2">
      <c r="B16" s="20" t="s">
        <v>20</v>
      </c>
      <c r="C16" s="12" t="s">
        <v>22</v>
      </c>
      <c r="D16" s="12" t="s">
        <v>23</v>
      </c>
      <c r="E16" s="12" t="s">
        <v>73</v>
      </c>
      <c r="F16" s="12" t="s">
        <v>74</v>
      </c>
      <c r="G16" s="35" t="s">
        <v>76</v>
      </c>
    </row>
    <row r="17" spans="2:9" x14ac:dyDescent="0.2">
      <c r="B17" s="17" t="s">
        <v>0</v>
      </c>
      <c r="C17" s="32">
        <f>'Base Lease Info'!F4</f>
        <v>150</v>
      </c>
      <c r="D17" s="32">
        <f>'Base Lease Info'!G4</f>
        <v>45</v>
      </c>
      <c r="E17" s="32">
        <f>'Base Lease Info'!H4</f>
        <v>65</v>
      </c>
      <c r="F17" s="32">
        <f>'Base Lease Info'!I4</f>
        <v>35</v>
      </c>
      <c r="G17" s="74">
        <f>E17+F17</f>
        <v>100</v>
      </c>
      <c r="I17" t="s">
        <v>26</v>
      </c>
    </row>
    <row r="18" spans="2:9" x14ac:dyDescent="0.2">
      <c r="B18" s="17" t="s">
        <v>21</v>
      </c>
      <c r="C18" s="89">
        <f>'Base Lease Info'!B42</f>
        <v>3</v>
      </c>
      <c r="D18" s="89">
        <f>'Base Lease Info'!C42</f>
        <v>7</v>
      </c>
      <c r="E18" s="89">
        <f>'Base Lease Info'!E42</f>
        <v>3.8</v>
      </c>
      <c r="F18" s="26">
        <f>D18</f>
        <v>7</v>
      </c>
      <c r="G18" s="81">
        <f>E18*(E17/G17) + F18*(F17/G17)</f>
        <v>4.92</v>
      </c>
      <c r="I18" t="s">
        <v>27</v>
      </c>
    </row>
    <row r="19" spans="2:9" x14ac:dyDescent="0.2">
      <c r="B19" s="17" t="s">
        <v>5</v>
      </c>
      <c r="C19" s="3">
        <f>C17*C18</f>
        <v>450</v>
      </c>
      <c r="D19" s="3">
        <f>D17*D18</f>
        <v>315</v>
      </c>
      <c r="E19" s="3">
        <f t="shared" ref="E19:F19" si="0">E17*E18</f>
        <v>247</v>
      </c>
      <c r="F19" s="3">
        <f t="shared" si="0"/>
        <v>245</v>
      </c>
      <c r="G19" s="46">
        <f>G17*G18</f>
        <v>492</v>
      </c>
      <c r="I19" t="s">
        <v>41</v>
      </c>
    </row>
    <row r="20" spans="2:9" x14ac:dyDescent="0.2">
      <c r="B20" s="17" t="s">
        <v>13</v>
      </c>
      <c r="C20" s="3">
        <f>IF('Base Lease Info'!$F6='Base Lease Info'!$J$75,$C30,0)</f>
        <v>0</v>
      </c>
      <c r="D20" s="3">
        <f>IF('Base Lease Info'!$F6='Base Lease Info'!$J$75,$C30,0)</f>
        <v>0</v>
      </c>
      <c r="E20" s="3">
        <f>IF('Base Lease Info'!$F6='Base Lease Info'!$J$75,$C30,0)</f>
        <v>0</v>
      </c>
      <c r="F20" s="3">
        <f>IF('Base Lease Info'!$F6='Base Lease Info'!$J$75,$C30,0)</f>
        <v>0</v>
      </c>
      <c r="G20" s="39">
        <f>IF('Base Lease Info'!$F6='Base Lease Info'!$J$75,$C30,0)</f>
        <v>0</v>
      </c>
      <c r="I20" s="25" t="s">
        <v>63</v>
      </c>
    </row>
    <row r="21" spans="2:9" x14ac:dyDescent="0.2">
      <c r="B21" s="27" t="s">
        <v>107</v>
      </c>
      <c r="C21" s="6">
        <f>'Base Lease Info'!E80</f>
        <v>0</v>
      </c>
      <c r="D21" s="6">
        <f>'Base Lease Info'!F80</f>
        <v>0</v>
      </c>
      <c r="E21" s="6">
        <f>'Base Lease Info'!G80</f>
        <v>0</v>
      </c>
      <c r="F21" s="6">
        <f>'Base Lease Info'!H80</f>
        <v>0</v>
      </c>
      <c r="G21" s="38">
        <f>'Base Lease Info'!I80</f>
        <v>0</v>
      </c>
      <c r="I21" s="25"/>
    </row>
    <row r="22" spans="2:9" x14ac:dyDescent="0.2">
      <c r="B22" s="24" t="s">
        <v>43</v>
      </c>
      <c r="C22" s="14">
        <f>SUM(C19:C21)</f>
        <v>450</v>
      </c>
      <c r="D22" s="14">
        <f t="shared" ref="D22:G22" si="1">SUM(D19:D21)</f>
        <v>315</v>
      </c>
      <c r="E22" s="14">
        <f t="shared" si="1"/>
        <v>247</v>
      </c>
      <c r="F22" s="14">
        <f t="shared" si="1"/>
        <v>245</v>
      </c>
      <c r="G22" s="76">
        <f t="shared" si="1"/>
        <v>492</v>
      </c>
      <c r="I22" t="s">
        <v>42</v>
      </c>
    </row>
    <row r="23" spans="2:9" x14ac:dyDescent="0.2">
      <c r="B23" s="24"/>
      <c r="C23" s="14"/>
      <c r="D23" s="14"/>
      <c r="E23" s="14"/>
      <c r="F23" s="14"/>
      <c r="G23" s="76"/>
    </row>
    <row r="24" spans="2:9" x14ac:dyDescent="0.2">
      <c r="B24" s="40" t="s">
        <v>79</v>
      </c>
      <c r="C24" s="14"/>
      <c r="D24" s="14"/>
      <c r="E24" s="14"/>
      <c r="F24" s="14"/>
      <c r="G24" s="76"/>
    </row>
    <row r="25" spans="2:9" x14ac:dyDescent="0.2">
      <c r="B25" s="27" t="s">
        <v>81</v>
      </c>
      <c r="C25" s="95">
        <f>'Base Lease Info'!E83</f>
        <v>0.8</v>
      </c>
      <c r="D25" s="96"/>
      <c r="E25" s="96"/>
      <c r="F25" s="4"/>
      <c r="G25" s="37"/>
    </row>
    <row r="26" spans="2:9" x14ac:dyDescent="0.2">
      <c r="B26" s="27" t="s">
        <v>80</v>
      </c>
      <c r="C26" s="95">
        <f>'Base Lease Info'!E84</f>
        <v>0.5</v>
      </c>
      <c r="D26" s="95">
        <f>'Base Lease Info'!F84</f>
        <v>0.4</v>
      </c>
      <c r="E26" s="95">
        <f>'Base Lease Info'!G84</f>
        <v>9.9999999999999978E-2</v>
      </c>
      <c r="F26" s="3"/>
      <c r="G26" s="39"/>
    </row>
    <row r="27" spans="2:9" x14ac:dyDescent="0.2">
      <c r="B27" s="27" t="s">
        <v>82</v>
      </c>
      <c r="C27" s="93">
        <f>'Base Lease Info'!E85</f>
        <v>3.7</v>
      </c>
      <c r="D27" s="93">
        <f>'Base Lease Info'!F85</f>
        <v>8.4</v>
      </c>
      <c r="E27" s="93">
        <f>'Base Lease Info'!G85</f>
        <v>5.5</v>
      </c>
      <c r="F27" s="3"/>
      <c r="G27" s="39"/>
    </row>
    <row r="28" spans="2:9" x14ac:dyDescent="0.2">
      <c r="B28" s="27" t="s">
        <v>83</v>
      </c>
      <c r="C28" s="97">
        <f>'Base Lease Info'!E86</f>
        <v>155</v>
      </c>
      <c r="D28" s="97">
        <f>'Base Lease Info'!F86</f>
        <v>48</v>
      </c>
      <c r="E28" s="97">
        <f>'Base Lease Info'!G86</f>
        <v>60</v>
      </c>
      <c r="F28" s="28"/>
      <c r="G28" s="77"/>
    </row>
    <row r="29" spans="2:9" x14ac:dyDescent="0.2">
      <c r="B29" s="27" t="s">
        <v>84</v>
      </c>
      <c r="C29" s="94">
        <f>IF(C18&lt;C27,(C27-C18)*C28*0.85,0)</f>
        <v>92.225000000000023</v>
      </c>
      <c r="D29" s="94">
        <f t="shared" ref="D29:E29" si="2">IF(D18&lt;D27,(D27-D18)*D28*0.85,0)</f>
        <v>57.120000000000012</v>
      </c>
      <c r="E29" s="94">
        <f t="shared" si="2"/>
        <v>86.7</v>
      </c>
      <c r="F29" s="28"/>
      <c r="G29" s="77"/>
    </row>
    <row r="30" spans="2:9" x14ac:dyDescent="0.2">
      <c r="B30" s="27" t="s">
        <v>85</v>
      </c>
      <c r="C30" s="320">
        <f>(C29*C26+D29*D26+E29*E26)*C25</f>
        <v>62.104400000000027</v>
      </c>
      <c r="D30" s="321"/>
      <c r="E30" s="322"/>
      <c r="F30" s="3"/>
      <c r="G30" s="39"/>
    </row>
    <row r="31" spans="2:9" x14ac:dyDescent="0.2">
      <c r="B31" s="27"/>
      <c r="C31" s="29"/>
      <c r="D31" s="3"/>
      <c r="E31" s="3"/>
      <c r="F31" s="3"/>
      <c r="G31" s="39"/>
    </row>
    <row r="32" spans="2:9" x14ac:dyDescent="0.2">
      <c r="B32" s="17"/>
      <c r="C32" s="2"/>
      <c r="D32" s="2"/>
      <c r="E32" s="2"/>
      <c r="F32" s="2"/>
      <c r="G32" s="78"/>
    </row>
    <row r="33" spans="2:9" x14ac:dyDescent="0.2">
      <c r="B33" s="16" t="s">
        <v>1</v>
      </c>
      <c r="C33" s="2"/>
      <c r="D33" s="2"/>
      <c r="E33" s="2"/>
      <c r="F33" s="2"/>
      <c r="G33" s="78"/>
    </row>
    <row r="34" spans="2:9" x14ac:dyDescent="0.2">
      <c r="B34" s="17" t="s">
        <v>2</v>
      </c>
      <c r="C34" s="3">
        <f>'Base Lease Info'!F25</f>
        <v>275</v>
      </c>
      <c r="D34" s="3">
        <f>'Base Lease Info'!G25</f>
        <v>150</v>
      </c>
      <c r="E34" s="3">
        <f>'Base Lease Info'!H25</f>
        <v>140</v>
      </c>
      <c r="F34" s="3">
        <f>'Base Lease Info'!I25</f>
        <v>150</v>
      </c>
      <c r="G34" s="39">
        <f>E34+F34</f>
        <v>290</v>
      </c>
      <c r="I34" t="s">
        <v>45</v>
      </c>
    </row>
    <row r="35" spans="2:9" x14ac:dyDescent="0.2">
      <c r="B35" s="17" t="s">
        <v>6</v>
      </c>
      <c r="C35" s="3">
        <f>'Base Lease Info'!F26</f>
        <v>140</v>
      </c>
      <c r="D35" s="3">
        <f>'Base Lease Info'!G26</f>
        <v>90</v>
      </c>
      <c r="E35" s="3">
        <f>'Base Lease Info'!H26</f>
        <v>90</v>
      </c>
      <c r="F35" s="3">
        <f>'Base Lease Info'!I26</f>
        <v>85</v>
      </c>
      <c r="G35" s="39">
        <f t="shared" ref="G35:G36" si="3">E35+F35</f>
        <v>175</v>
      </c>
      <c r="I35" t="s">
        <v>46</v>
      </c>
    </row>
    <row r="36" spans="2:9" x14ac:dyDescent="0.2">
      <c r="B36" s="17" t="s">
        <v>3</v>
      </c>
      <c r="C36" s="3">
        <f>'Base Lease Info'!F27</f>
        <v>60</v>
      </c>
      <c r="D36" s="3">
        <f>'Base Lease Info'!G27</f>
        <v>40</v>
      </c>
      <c r="E36" s="3">
        <f>'Base Lease Info'!H27</f>
        <v>40</v>
      </c>
      <c r="F36" s="3">
        <f>'Base Lease Info'!I27</f>
        <v>40</v>
      </c>
      <c r="G36" s="39">
        <f t="shared" si="3"/>
        <v>80</v>
      </c>
      <c r="I36" t="s">
        <v>47</v>
      </c>
    </row>
    <row r="37" spans="2:9" x14ac:dyDescent="0.2">
      <c r="B37" s="17" t="s">
        <v>4</v>
      </c>
      <c r="C37" s="6">
        <f>$C12</f>
        <v>125</v>
      </c>
      <c r="D37" s="6">
        <f>D12</f>
        <v>125</v>
      </c>
      <c r="E37" s="6">
        <f t="shared" ref="E37:F37" si="4">E12</f>
        <v>62.5</v>
      </c>
      <c r="F37" s="6">
        <f t="shared" si="4"/>
        <v>62.5</v>
      </c>
      <c r="G37" s="38">
        <f>G12</f>
        <v>125</v>
      </c>
      <c r="I37" t="s">
        <v>60</v>
      </c>
    </row>
    <row r="38" spans="2:9" x14ac:dyDescent="0.2">
      <c r="B38" s="24" t="s">
        <v>44</v>
      </c>
      <c r="C38" s="14">
        <f>SUM(C34:C37)</f>
        <v>600</v>
      </c>
      <c r="D38" s="14">
        <f>SUM(D34:D37)</f>
        <v>405</v>
      </c>
      <c r="E38" s="14">
        <f t="shared" ref="E38" si="5">SUM(E34:E37)</f>
        <v>332.5</v>
      </c>
      <c r="F38" s="14">
        <f>SUM(F34:F37)</f>
        <v>337.5</v>
      </c>
      <c r="G38" s="39">
        <f>SUM(G34:G37)</f>
        <v>670</v>
      </c>
      <c r="I38" t="s">
        <v>61</v>
      </c>
    </row>
    <row r="39" spans="2:9" x14ac:dyDescent="0.2">
      <c r="B39" s="17"/>
      <c r="C39" s="2"/>
      <c r="D39" s="2"/>
      <c r="E39" s="2"/>
      <c r="F39" s="2"/>
      <c r="G39" s="78"/>
    </row>
    <row r="40" spans="2:9" x14ac:dyDescent="0.2">
      <c r="B40" s="18" t="s">
        <v>8</v>
      </c>
      <c r="C40" s="3">
        <f>C22</f>
        <v>450</v>
      </c>
      <c r="D40" s="3">
        <f t="shared" ref="D40:G40" si="6">D22</f>
        <v>315</v>
      </c>
      <c r="E40" s="3">
        <f t="shared" si="6"/>
        <v>247</v>
      </c>
      <c r="F40" s="3">
        <f t="shared" si="6"/>
        <v>245</v>
      </c>
      <c r="G40" s="39">
        <f t="shared" si="6"/>
        <v>492</v>
      </c>
      <c r="I40" s="25" t="s">
        <v>67</v>
      </c>
    </row>
    <row r="41" spans="2:9" x14ac:dyDescent="0.2">
      <c r="B41" s="17" t="s">
        <v>9</v>
      </c>
      <c r="C41" s="5">
        <f>SUM(C34:C37)</f>
        <v>600</v>
      </c>
      <c r="D41" s="5">
        <f>SUM(D34:D37)</f>
        <v>405</v>
      </c>
      <c r="E41" s="5">
        <f t="shared" ref="E41" si="7">SUM(E34:E37)</f>
        <v>332.5</v>
      </c>
      <c r="F41" s="5">
        <f>SUM(F34:F37)</f>
        <v>337.5</v>
      </c>
      <c r="G41" s="39">
        <f>SUM(G34:G37)</f>
        <v>670</v>
      </c>
    </row>
    <row r="42" spans="2:9" x14ac:dyDescent="0.2">
      <c r="B42" s="21" t="s">
        <v>7</v>
      </c>
      <c r="C42" s="10">
        <f>C40-C41</f>
        <v>-150</v>
      </c>
      <c r="D42" s="10">
        <f>D40-D41</f>
        <v>-90</v>
      </c>
      <c r="E42" s="10">
        <f>E40-E41</f>
        <v>-85.5</v>
      </c>
      <c r="F42" s="10">
        <f t="shared" ref="F42:G42" si="8">F40-F41</f>
        <v>-92.5</v>
      </c>
      <c r="G42" s="36">
        <f t="shared" si="8"/>
        <v>-178</v>
      </c>
      <c r="I42" t="s">
        <v>50</v>
      </c>
    </row>
    <row r="43" spans="2:9" ht="13.5" thickBot="1" x14ac:dyDescent="0.25">
      <c r="B43" s="22" t="s">
        <v>25</v>
      </c>
      <c r="C43" s="328">
        <f>IF('Base Lease Info'!F12='Base Lease Info'!L76,C42*'Base Lease Info'!F8 + D42*'Base Lease Info'!G8 + E42*'Base Lease Info'!H8 + F42*'Base Lease Info'!H8,C42*'Base Lease Info'!F8 + D42*'Base Lease Info'!G8 + G42*'Base Lease Info'!J8)</f>
        <v>-142</v>
      </c>
      <c r="D43" s="329"/>
      <c r="E43" s="329"/>
      <c r="F43" s="329"/>
      <c r="G43" s="330"/>
      <c r="I43" t="s">
        <v>51</v>
      </c>
    </row>
    <row r="44" spans="2:9" ht="13.5" thickTop="1" x14ac:dyDescent="0.2"/>
    <row r="45" spans="2:9" x14ac:dyDescent="0.2">
      <c r="B45" s="1" t="s">
        <v>59</v>
      </c>
    </row>
    <row r="47" spans="2:9" ht="13.5" customHeight="1" thickBot="1" x14ac:dyDescent="0.25"/>
    <row r="48" spans="2:9" ht="17.25" thickTop="1" thickBot="1" x14ac:dyDescent="0.3">
      <c r="B48" s="334" t="s">
        <v>103</v>
      </c>
      <c r="C48" s="335"/>
      <c r="D48" s="335"/>
      <c r="E48" s="335"/>
      <c r="F48" s="335"/>
      <c r="G48" s="336"/>
      <c r="I48" s="7"/>
    </row>
    <row r="49" spans="2:11" ht="13.5" thickTop="1" x14ac:dyDescent="0.2">
      <c r="B49" s="68" t="s">
        <v>14</v>
      </c>
      <c r="C49" s="337"/>
      <c r="D49" s="337"/>
      <c r="E49" s="131"/>
      <c r="F49" s="131"/>
      <c r="G49" s="69"/>
      <c r="I49" s="7" t="s">
        <v>18</v>
      </c>
    </row>
    <row r="50" spans="2:11" x14ac:dyDescent="0.2">
      <c r="B50" s="17" t="s">
        <v>31</v>
      </c>
      <c r="C50" s="331">
        <f>'Base Lease Info'!F21</f>
        <v>150</v>
      </c>
      <c r="D50" s="332"/>
      <c r="E50" s="332"/>
      <c r="F50" s="332"/>
      <c r="G50" s="333"/>
      <c r="I50" s="7"/>
    </row>
    <row r="51" spans="2:11" x14ac:dyDescent="0.2">
      <c r="B51" s="17" t="s">
        <v>10</v>
      </c>
      <c r="C51" s="338">
        <f>'Base Lease Info'!F10</f>
        <v>125</v>
      </c>
      <c r="D51" s="339"/>
      <c r="E51" s="339"/>
      <c r="F51" s="339"/>
      <c r="G51" s="340"/>
      <c r="H51" s="15"/>
      <c r="I51" s="11"/>
    </row>
    <row r="52" spans="2:11" x14ac:dyDescent="0.2">
      <c r="B52" s="17" t="s">
        <v>32</v>
      </c>
      <c r="C52" s="331" t="str">
        <f>'Base Lease Info'!F11</f>
        <v>No</v>
      </c>
      <c r="D52" s="332"/>
      <c r="E52" s="332"/>
      <c r="F52" s="332"/>
      <c r="G52" s="333"/>
      <c r="H52" s="15"/>
      <c r="I52" s="11" t="s">
        <v>62</v>
      </c>
    </row>
    <row r="53" spans="2:11" x14ac:dyDescent="0.2">
      <c r="B53" s="27"/>
      <c r="C53" s="12" t="s">
        <v>22</v>
      </c>
      <c r="D53" s="12" t="s">
        <v>23</v>
      </c>
      <c r="E53" s="12" t="s">
        <v>73</v>
      </c>
      <c r="F53" s="12" t="s">
        <v>74</v>
      </c>
      <c r="G53" s="35" t="s">
        <v>76</v>
      </c>
      <c r="H53" s="15"/>
      <c r="I53" s="11"/>
    </row>
    <row r="54" spans="2:11" x14ac:dyDescent="0.2">
      <c r="B54" s="80" t="s">
        <v>12</v>
      </c>
      <c r="C54" s="31">
        <f>'Base Lease Info'!F17</f>
        <v>0.35</v>
      </c>
      <c r="D54" s="31">
        <f>'Base Lease Info'!G17</f>
        <v>0.4</v>
      </c>
      <c r="E54" s="31">
        <f>'Base Lease Info'!H17</f>
        <v>0.35</v>
      </c>
      <c r="F54" s="31">
        <f>'Base Lease Info'!I17</f>
        <v>0.35</v>
      </c>
      <c r="G54" s="71">
        <f>E54*(E60/G60) + F54*(F60/G60)</f>
        <v>0.35</v>
      </c>
      <c r="H54" s="15"/>
      <c r="I54" s="11" t="s">
        <v>39</v>
      </c>
    </row>
    <row r="55" spans="2:11" ht="15.75" x14ac:dyDescent="0.25">
      <c r="B55" s="19" t="s">
        <v>91</v>
      </c>
      <c r="C55" s="9">
        <f>IF($C$52='Base Lease Info'!$J$75,C83*C54,IF(C83*C54&gt;$C$51,C83*C54,$C$51))</f>
        <v>157.5</v>
      </c>
      <c r="D55" s="9">
        <f>IF($C$52='Base Lease Info'!$J$75,D83*D54,IF(D83*D54&gt;$C$51,D83*D54,$C$51))</f>
        <v>126</v>
      </c>
      <c r="E55" s="9">
        <f>IF($C$52='Base Lease Info'!$J$75,E83*E54,IF(E83*E54&gt;$C$51/2,E83*E54,$C$51/2))</f>
        <v>86.449999999999989</v>
      </c>
      <c r="F55" s="9">
        <f>IF($C$52='Base Lease Info'!$J$75,F83*F54,IF(F83*F54&gt;$C$51/2,F83*F54,$C$51/2))</f>
        <v>85.75</v>
      </c>
      <c r="G55" s="72">
        <f>IF($C$52='Base Lease Info'!$J$75,G83*G54,IF(G83*G54&gt;$C$51,G83*G54,$C$51))</f>
        <v>172.2</v>
      </c>
      <c r="I55" t="s">
        <v>40</v>
      </c>
    </row>
    <row r="56" spans="2:11" ht="15.75" x14ac:dyDescent="0.25">
      <c r="B56" s="19" t="s">
        <v>58</v>
      </c>
      <c r="C56" s="323">
        <f>IF('Base Lease Info'!F12='Base Lease Info'!L75,C55*'Base Lease Info'!F8 + D55*'Base Lease Info'!G8 + G55*'Base Lease Info'!J8, C55*'Base Lease Info'!F8 + D55*'Base Lease Info'!G8 + E55*'Base Lease Info'!H8 + F55*'Base Lease Info'!H8)</f>
        <v>153.30000000000001</v>
      </c>
      <c r="D56" s="323"/>
      <c r="E56" s="323"/>
      <c r="F56" s="323"/>
      <c r="G56" s="324"/>
      <c r="I56" t="s">
        <v>48</v>
      </c>
    </row>
    <row r="57" spans="2:11" x14ac:dyDescent="0.2">
      <c r="B57" s="17" t="s">
        <v>19</v>
      </c>
      <c r="C57" s="325">
        <f>C56/$C50-1</f>
        <v>2.200000000000002E-2</v>
      </c>
      <c r="D57" s="326"/>
      <c r="E57" s="326"/>
      <c r="F57" s="326"/>
      <c r="G57" s="327"/>
      <c r="I57" t="s">
        <v>49</v>
      </c>
    </row>
    <row r="58" spans="2:11" x14ac:dyDescent="0.2">
      <c r="B58" s="17"/>
      <c r="C58" s="8"/>
      <c r="D58" s="8"/>
      <c r="E58" s="8"/>
      <c r="F58" s="8"/>
      <c r="G58" s="73"/>
    </row>
    <row r="59" spans="2:11" x14ac:dyDescent="0.2">
      <c r="B59" s="20" t="s">
        <v>20</v>
      </c>
      <c r="C59" s="12" t="s">
        <v>22</v>
      </c>
      <c r="D59" s="12" t="s">
        <v>23</v>
      </c>
      <c r="E59" s="12" t="s">
        <v>73</v>
      </c>
      <c r="F59" s="12" t="s">
        <v>74</v>
      </c>
      <c r="G59" s="35" t="s">
        <v>76</v>
      </c>
    </row>
    <row r="60" spans="2:11" x14ac:dyDescent="0.2">
      <c r="B60" s="17" t="s">
        <v>0</v>
      </c>
      <c r="C60" s="32">
        <f>'Base Lease Info'!F4</f>
        <v>150</v>
      </c>
      <c r="D60" s="32">
        <f>'Base Lease Info'!G4</f>
        <v>45</v>
      </c>
      <c r="E60" s="32">
        <f>'Base Lease Info'!H4</f>
        <v>65</v>
      </c>
      <c r="F60" s="32">
        <f>'Base Lease Info'!I4</f>
        <v>35</v>
      </c>
      <c r="G60" s="74">
        <f>E60+F60</f>
        <v>100</v>
      </c>
      <c r="I60" t="s">
        <v>26</v>
      </c>
      <c r="K60" s="82"/>
    </row>
    <row r="61" spans="2:11" x14ac:dyDescent="0.2">
      <c r="B61" s="17" t="s">
        <v>21</v>
      </c>
      <c r="C61" s="89">
        <f>'Base Lease Info'!B42</f>
        <v>3</v>
      </c>
      <c r="D61" s="89">
        <f>'Base Lease Info'!C42</f>
        <v>7</v>
      </c>
      <c r="E61" s="89">
        <f>'Base Lease Info'!E42</f>
        <v>3.8</v>
      </c>
      <c r="F61" s="26">
        <f>D61</f>
        <v>7</v>
      </c>
      <c r="G61" s="75">
        <f>E61*(E60/G60) + F61*(F60/G60)</f>
        <v>4.92</v>
      </c>
      <c r="I61" t="s">
        <v>27</v>
      </c>
    </row>
    <row r="62" spans="2:11" x14ac:dyDescent="0.2">
      <c r="B62" s="17" t="s">
        <v>5</v>
      </c>
      <c r="C62" s="3">
        <f>C60*C61</f>
        <v>450</v>
      </c>
      <c r="D62" s="3">
        <f>D60*D61</f>
        <v>315</v>
      </c>
      <c r="E62" s="3">
        <f t="shared" ref="E62:F62" si="9">E60*E61</f>
        <v>247</v>
      </c>
      <c r="F62" s="3">
        <f t="shared" si="9"/>
        <v>245</v>
      </c>
      <c r="G62" s="46">
        <f>G60*G61</f>
        <v>492</v>
      </c>
      <c r="I62" t="s">
        <v>41</v>
      </c>
    </row>
    <row r="63" spans="2:11" x14ac:dyDescent="0.2">
      <c r="B63" s="17" t="s">
        <v>13</v>
      </c>
      <c r="C63" s="3">
        <f>IF('Base Lease Info'!$F6='Base Lease Info'!$J$75,$C73,0)</f>
        <v>0</v>
      </c>
      <c r="D63" s="3">
        <f>IF('Base Lease Info'!$F6='Base Lease Info'!$J$75,$C73,0)</f>
        <v>0</v>
      </c>
      <c r="E63" s="3">
        <f>IF('Base Lease Info'!$F6='Base Lease Info'!$J$75,$C73,0)</f>
        <v>0</v>
      </c>
      <c r="F63" s="3">
        <f>IF('Base Lease Info'!$F6='Base Lease Info'!$J$75,$C73,0)</f>
        <v>0</v>
      </c>
      <c r="G63" s="39">
        <f>IF('Base Lease Info'!$F6='Base Lease Info'!$J$75,$C73,0)</f>
        <v>0</v>
      </c>
      <c r="I63" s="25" t="s">
        <v>63</v>
      </c>
    </row>
    <row r="64" spans="2:11" x14ac:dyDescent="0.2">
      <c r="B64" s="27" t="s">
        <v>107</v>
      </c>
      <c r="C64" s="6">
        <f>'Base Lease Info'!E80</f>
        <v>0</v>
      </c>
      <c r="D64" s="6">
        <f>'Base Lease Info'!F80</f>
        <v>0</v>
      </c>
      <c r="E64" s="6">
        <f>'Base Lease Info'!G80</f>
        <v>0</v>
      </c>
      <c r="F64" s="6">
        <f>'Base Lease Info'!H80</f>
        <v>0</v>
      </c>
      <c r="G64" s="38">
        <f>'Base Lease Info'!I80</f>
        <v>0</v>
      </c>
      <c r="I64" s="25"/>
    </row>
    <row r="65" spans="2:9" x14ac:dyDescent="0.2">
      <c r="B65" s="24" t="s">
        <v>43</v>
      </c>
      <c r="C65" s="14">
        <f>SUM(C62:C64)</f>
        <v>450</v>
      </c>
      <c r="D65" s="14">
        <f t="shared" ref="D65:G65" si="10">SUM(D62:D64)</f>
        <v>315</v>
      </c>
      <c r="E65" s="14">
        <f t="shared" si="10"/>
        <v>247</v>
      </c>
      <c r="F65" s="14">
        <f>SUM(F62:F64)</f>
        <v>245</v>
      </c>
      <c r="G65" s="76">
        <f t="shared" si="10"/>
        <v>492</v>
      </c>
      <c r="I65" t="s">
        <v>42</v>
      </c>
    </row>
    <row r="66" spans="2:9" x14ac:dyDescent="0.2">
      <c r="B66" s="24"/>
      <c r="C66" s="14"/>
      <c r="D66" s="14"/>
      <c r="E66" s="14"/>
      <c r="F66" s="14"/>
      <c r="G66" s="76"/>
    </row>
    <row r="67" spans="2:9" x14ac:dyDescent="0.2">
      <c r="B67" s="40" t="s">
        <v>79</v>
      </c>
      <c r="C67" s="14"/>
      <c r="D67" s="14"/>
      <c r="E67" s="14"/>
      <c r="F67" s="14"/>
      <c r="G67" s="76"/>
    </row>
    <row r="68" spans="2:9" x14ac:dyDescent="0.2">
      <c r="B68" s="27" t="s">
        <v>81</v>
      </c>
      <c r="C68" s="95">
        <f>'Base Lease Info'!E83</f>
        <v>0.8</v>
      </c>
      <c r="D68" s="96"/>
      <c r="E68" s="96"/>
      <c r="F68" s="4"/>
      <c r="G68" s="37"/>
    </row>
    <row r="69" spans="2:9" x14ac:dyDescent="0.2">
      <c r="B69" s="27" t="s">
        <v>80</v>
      </c>
      <c r="C69" s="95">
        <f>'Base Lease Info'!E84</f>
        <v>0.5</v>
      </c>
      <c r="D69" s="95">
        <f>'Base Lease Info'!F84</f>
        <v>0.4</v>
      </c>
      <c r="E69" s="95">
        <f>'Base Lease Info'!G84</f>
        <v>9.9999999999999978E-2</v>
      </c>
      <c r="F69" s="3"/>
      <c r="G69" s="39"/>
    </row>
    <row r="70" spans="2:9" x14ac:dyDescent="0.2">
      <c r="B70" s="27" t="s">
        <v>82</v>
      </c>
      <c r="C70" s="93">
        <f>'Base Lease Info'!E85</f>
        <v>3.7</v>
      </c>
      <c r="D70" s="93">
        <f>'Base Lease Info'!F85</f>
        <v>8.4</v>
      </c>
      <c r="E70" s="93">
        <f>'Base Lease Info'!G85</f>
        <v>5.5</v>
      </c>
      <c r="F70" s="3"/>
      <c r="G70" s="39"/>
    </row>
    <row r="71" spans="2:9" x14ac:dyDescent="0.2">
      <c r="B71" s="27" t="s">
        <v>83</v>
      </c>
      <c r="C71" s="97">
        <f>'Base Lease Info'!E86</f>
        <v>155</v>
      </c>
      <c r="D71" s="97">
        <f>'Base Lease Info'!F86</f>
        <v>48</v>
      </c>
      <c r="E71" s="97">
        <f>'Base Lease Info'!G86</f>
        <v>60</v>
      </c>
      <c r="F71" s="28"/>
      <c r="G71" s="77"/>
    </row>
    <row r="72" spans="2:9" x14ac:dyDescent="0.2">
      <c r="B72" s="27" t="s">
        <v>84</v>
      </c>
      <c r="C72" s="94">
        <f>IF(C61&lt;C70,(C70-C61)*C71*0.85,0)</f>
        <v>92.225000000000023</v>
      </c>
      <c r="D72" s="94">
        <f t="shared" ref="D72:E72" si="11">IF(D61&lt;D70,(D70-D61)*D71*0.85,0)</f>
        <v>57.120000000000012</v>
      </c>
      <c r="E72" s="94">
        <f t="shared" si="11"/>
        <v>86.7</v>
      </c>
      <c r="F72" s="28"/>
      <c r="G72" s="77"/>
    </row>
    <row r="73" spans="2:9" x14ac:dyDescent="0.2">
      <c r="B73" s="27" t="s">
        <v>85</v>
      </c>
      <c r="C73" s="320">
        <f>(C72*C69+D72*D69+E72*E69)*C68</f>
        <v>62.104400000000027</v>
      </c>
      <c r="D73" s="321"/>
      <c r="E73" s="322"/>
      <c r="F73" s="3"/>
      <c r="G73" s="39"/>
    </row>
    <row r="74" spans="2:9" x14ac:dyDescent="0.2">
      <c r="B74" s="27"/>
      <c r="C74" s="29"/>
      <c r="D74" s="3"/>
      <c r="E74" s="3"/>
      <c r="F74" s="3"/>
      <c r="G74" s="39"/>
    </row>
    <row r="75" spans="2:9" x14ac:dyDescent="0.2">
      <c r="B75" s="17"/>
      <c r="C75" s="2"/>
      <c r="D75" s="2"/>
      <c r="E75" s="2"/>
      <c r="F75" s="2"/>
      <c r="G75" s="78"/>
    </row>
    <row r="76" spans="2:9" x14ac:dyDescent="0.2">
      <c r="B76" s="16" t="s">
        <v>1</v>
      </c>
      <c r="C76" s="2"/>
      <c r="D76" s="2"/>
      <c r="E76" s="2"/>
      <c r="F76" s="2"/>
      <c r="G76" s="78"/>
    </row>
    <row r="77" spans="2:9" x14ac:dyDescent="0.2">
      <c r="B77" s="17" t="s">
        <v>2</v>
      </c>
      <c r="C77" s="3">
        <f>'Base Lease Info'!F25</f>
        <v>275</v>
      </c>
      <c r="D77" s="3">
        <f>'Base Lease Info'!G25</f>
        <v>150</v>
      </c>
      <c r="E77" s="3">
        <f>'Base Lease Info'!H25</f>
        <v>140</v>
      </c>
      <c r="F77" s="3">
        <f>'Base Lease Info'!I25</f>
        <v>150</v>
      </c>
      <c r="G77" s="39">
        <f>E77+F77</f>
        <v>290</v>
      </c>
      <c r="I77" t="s">
        <v>45</v>
      </c>
    </row>
    <row r="78" spans="2:9" x14ac:dyDescent="0.2">
      <c r="B78" s="17" t="s">
        <v>6</v>
      </c>
      <c r="C78" s="3">
        <f>'Base Lease Info'!F26</f>
        <v>140</v>
      </c>
      <c r="D78" s="3">
        <f>'Base Lease Info'!G26</f>
        <v>90</v>
      </c>
      <c r="E78" s="3">
        <f>'Base Lease Info'!H26</f>
        <v>90</v>
      </c>
      <c r="F78" s="3">
        <f>'Base Lease Info'!I26</f>
        <v>85</v>
      </c>
      <c r="G78" s="39">
        <f t="shared" ref="G78:G79" si="12">E78+F78</f>
        <v>175</v>
      </c>
      <c r="I78" t="s">
        <v>46</v>
      </c>
    </row>
    <row r="79" spans="2:9" x14ac:dyDescent="0.2">
      <c r="B79" s="17" t="s">
        <v>3</v>
      </c>
      <c r="C79" s="3">
        <f>'Base Lease Info'!F27</f>
        <v>60</v>
      </c>
      <c r="D79" s="3">
        <f>'Base Lease Info'!G27</f>
        <v>40</v>
      </c>
      <c r="E79" s="3">
        <f>'Base Lease Info'!H27</f>
        <v>40</v>
      </c>
      <c r="F79" s="3">
        <f>'Base Lease Info'!I27</f>
        <v>40</v>
      </c>
      <c r="G79" s="39">
        <f t="shared" si="12"/>
        <v>80</v>
      </c>
      <c r="I79" t="s">
        <v>47</v>
      </c>
    </row>
    <row r="80" spans="2:9" x14ac:dyDescent="0.2">
      <c r="B80" s="18" t="s">
        <v>4</v>
      </c>
      <c r="C80" s="6">
        <f>$C55</f>
        <v>157.5</v>
      </c>
      <c r="D80" s="6">
        <f>D55</f>
        <v>126</v>
      </c>
      <c r="E80" s="6">
        <f>E55</f>
        <v>86.449999999999989</v>
      </c>
      <c r="F80" s="6">
        <f>F55</f>
        <v>85.75</v>
      </c>
      <c r="G80" s="38">
        <f>G55</f>
        <v>172.2</v>
      </c>
      <c r="I80" t="s">
        <v>60</v>
      </c>
    </row>
    <row r="81" spans="2:9" x14ac:dyDescent="0.2">
      <c r="B81" s="24" t="s">
        <v>44</v>
      </c>
      <c r="C81" s="14">
        <f>SUM(C77:C80)</f>
        <v>632.5</v>
      </c>
      <c r="D81" s="14">
        <f>SUM(D77:D80)</f>
        <v>406</v>
      </c>
      <c r="E81" s="14">
        <f t="shared" ref="E81" si="13">SUM(E77:E80)</f>
        <v>356.45</v>
      </c>
      <c r="F81" s="14">
        <f>SUM(F77:F80)</f>
        <v>360.75</v>
      </c>
      <c r="G81" s="39">
        <f>SUM(G77:G80)</f>
        <v>717.2</v>
      </c>
      <c r="I81" t="s">
        <v>61</v>
      </c>
    </row>
    <row r="82" spans="2:9" x14ac:dyDescent="0.2">
      <c r="B82" s="17"/>
      <c r="C82" s="2"/>
      <c r="D82" s="2"/>
      <c r="E82" s="2"/>
      <c r="F82" s="2"/>
      <c r="G82" s="78"/>
    </row>
    <row r="83" spans="2:9" x14ac:dyDescent="0.2">
      <c r="B83" s="17" t="s">
        <v>8</v>
      </c>
      <c r="C83" s="3">
        <f>C65</f>
        <v>450</v>
      </c>
      <c r="D83" s="3">
        <f t="shared" ref="D83:G83" si="14">D65</f>
        <v>315</v>
      </c>
      <c r="E83" s="3">
        <f t="shared" si="14"/>
        <v>247</v>
      </c>
      <c r="F83" s="3">
        <f t="shared" si="14"/>
        <v>245</v>
      </c>
      <c r="G83" s="39">
        <f t="shared" si="14"/>
        <v>492</v>
      </c>
      <c r="I83" s="25" t="s">
        <v>67</v>
      </c>
    </row>
    <row r="84" spans="2:9" x14ac:dyDescent="0.2">
      <c r="B84" s="17" t="s">
        <v>9</v>
      </c>
      <c r="C84" s="5">
        <f>SUM(C77:C80)</f>
        <v>632.5</v>
      </c>
      <c r="D84" s="5">
        <f t="shared" ref="D84:G84" si="15">SUM(D77:D80)</f>
        <v>406</v>
      </c>
      <c r="E84" s="5">
        <f t="shared" si="15"/>
        <v>356.45</v>
      </c>
      <c r="F84" s="5">
        <f t="shared" si="15"/>
        <v>360.75</v>
      </c>
      <c r="G84" s="85">
        <f t="shared" si="15"/>
        <v>717.2</v>
      </c>
    </row>
    <row r="85" spans="2:9" x14ac:dyDescent="0.2">
      <c r="B85" s="21" t="s">
        <v>7</v>
      </c>
      <c r="C85" s="10">
        <f>C83-C84</f>
        <v>-182.5</v>
      </c>
      <c r="D85" s="10">
        <f>D83-D84</f>
        <v>-91</v>
      </c>
      <c r="E85" s="10">
        <f>E83-E84</f>
        <v>-109.44999999999999</v>
      </c>
      <c r="F85" s="10">
        <f t="shared" ref="F85:G85" si="16">F83-F84</f>
        <v>-115.75</v>
      </c>
      <c r="G85" s="36">
        <f t="shared" si="16"/>
        <v>-225.20000000000005</v>
      </c>
      <c r="I85" t="s">
        <v>50</v>
      </c>
    </row>
    <row r="86" spans="2:9" ht="13.5" thickBot="1" x14ac:dyDescent="0.25">
      <c r="B86" s="22" t="s">
        <v>25</v>
      </c>
      <c r="C86" s="328">
        <f>IF('Base Lease Info'!F12='Base Lease Info'!L76,C85*'Base Lease Info'!F8 + D85*'Base Lease Info'!G8 + E85*'Base Lease Info'!H8 + F85*'Base Lease Info'!H8,C85*'Base Lease Info'!F8 + D85*'Base Lease Info'!G8 + G85*'Base Lease Info'!J8)</f>
        <v>-170.3</v>
      </c>
      <c r="D86" s="329"/>
      <c r="E86" s="329"/>
      <c r="F86" s="329"/>
      <c r="G86" s="330"/>
      <c r="I86" t="s">
        <v>51</v>
      </c>
    </row>
    <row r="87" spans="2:9" ht="13.5" thickTop="1" x14ac:dyDescent="0.2"/>
    <row r="88" spans="2:9" x14ac:dyDescent="0.2">
      <c r="B88" s="1" t="s">
        <v>59</v>
      </c>
    </row>
    <row r="90" spans="2:9" ht="13.5" thickBot="1" x14ac:dyDescent="0.25">
      <c r="B90" s="11"/>
      <c r="C90" s="11"/>
      <c r="D90" s="11"/>
      <c r="E90" s="11"/>
      <c r="F90" s="11"/>
      <c r="G90" s="11"/>
    </row>
    <row r="91" spans="2:9" ht="17.25" thickTop="1" thickBot="1" x14ac:dyDescent="0.3">
      <c r="B91" s="334" t="s">
        <v>104</v>
      </c>
      <c r="C91" s="335"/>
      <c r="D91" s="335"/>
      <c r="E91" s="335"/>
      <c r="F91" s="335"/>
      <c r="G91" s="336"/>
      <c r="I91" s="7"/>
    </row>
    <row r="92" spans="2:9" ht="13.5" thickTop="1" x14ac:dyDescent="0.2">
      <c r="B92" s="68" t="s">
        <v>14</v>
      </c>
      <c r="C92" s="337"/>
      <c r="D92" s="337"/>
      <c r="E92" s="131"/>
      <c r="F92" s="131"/>
      <c r="G92" s="69"/>
      <c r="I92" s="7" t="s">
        <v>18</v>
      </c>
    </row>
    <row r="93" spans="2:9" x14ac:dyDescent="0.2">
      <c r="B93" s="17" t="s">
        <v>31</v>
      </c>
      <c r="C93" s="331">
        <f>'Base Lease Info'!F21</f>
        <v>150</v>
      </c>
      <c r="D93" s="332"/>
      <c r="E93" s="332"/>
      <c r="F93" s="332"/>
      <c r="G93" s="333"/>
      <c r="I93" s="7"/>
    </row>
    <row r="94" spans="2:9" x14ac:dyDescent="0.2">
      <c r="B94" s="17" t="s">
        <v>10</v>
      </c>
      <c r="C94" s="331">
        <f>'Base Lease Info'!F10</f>
        <v>125</v>
      </c>
      <c r="D94" s="332"/>
      <c r="E94" s="332"/>
      <c r="F94" s="332"/>
      <c r="G94" s="333"/>
      <c r="H94" s="15"/>
      <c r="I94" s="11"/>
    </row>
    <row r="95" spans="2:9" x14ac:dyDescent="0.2">
      <c r="B95" s="17" t="s">
        <v>32</v>
      </c>
      <c r="C95" s="331" t="str">
        <f>'Base Lease Info'!F11</f>
        <v>No</v>
      </c>
      <c r="D95" s="332"/>
      <c r="E95" s="332"/>
      <c r="F95" s="332"/>
      <c r="G95" s="333"/>
      <c r="H95" s="15"/>
      <c r="I95" s="11" t="s">
        <v>62</v>
      </c>
    </row>
    <row r="96" spans="2:9" x14ac:dyDescent="0.2">
      <c r="B96" s="17"/>
      <c r="C96" s="12" t="s">
        <v>22</v>
      </c>
      <c r="D96" s="12" t="s">
        <v>23</v>
      </c>
      <c r="E96" s="12" t="s">
        <v>73</v>
      </c>
      <c r="F96" s="12" t="s">
        <v>74</v>
      </c>
      <c r="G96" s="35" t="s">
        <v>76</v>
      </c>
      <c r="H96" s="15"/>
      <c r="I96" s="11"/>
    </row>
    <row r="97" spans="2:9" x14ac:dyDescent="0.2">
      <c r="B97" s="17" t="s">
        <v>28</v>
      </c>
      <c r="C97" s="13">
        <f>SUM('Base Lease Info'!F25:F27)+C94</f>
        <v>600</v>
      </c>
      <c r="D97" s="13">
        <f>SUM('Base Lease Info'!G25:G27)+D94</f>
        <v>280</v>
      </c>
      <c r="E97" s="13">
        <f>SUM('Base Lease Info'!H25:H27)+E94</f>
        <v>270</v>
      </c>
      <c r="F97" s="13">
        <f>SUM('Base Lease Info'!I25:I27)+F94</f>
        <v>275</v>
      </c>
      <c r="G97" s="70">
        <f>E97+F97</f>
        <v>545</v>
      </c>
      <c r="H97" s="15"/>
      <c r="I97" s="11" t="s">
        <v>54</v>
      </c>
    </row>
    <row r="98" spans="2:9" x14ac:dyDescent="0.2">
      <c r="B98" s="17" t="s">
        <v>11</v>
      </c>
      <c r="C98" s="30">
        <f>'Base Lease Info'!F16</f>
        <v>475</v>
      </c>
      <c r="D98" s="30">
        <f>'Base Lease Info'!G16</f>
        <v>325</v>
      </c>
      <c r="E98" s="30">
        <f>'Base Lease Info'!H16</f>
        <v>325</v>
      </c>
      <c r="F98" s="30">
        <f>'Base Lease Info'!I16</f>
        <v>250</v>
      </c>
      <c r="G98" s="70">
        <f>E98+F98</f>
        <v>575</v>
      </c>
      <c r="I98" s="11" t="s">
        <v>38</v>
      </c>
    </row>
    <row r="99" spans="2:9" x14ac:dyDescent="0.2">
      <c r="B99" s="18" t="s">
        <v>12</v>
      </c>
      <c r="C99" s="31">
        <f>'Base Lease Info'!F17</f>
        <v>0.35</v>
      </c>
      <c r="D99" s="31">
        <f>'Base Lease Info'!G17</f>
        <v>0.4</v>
      </c>
      <c r="E99" s="31">
        <f>'Base Lease Info'!H17</f>
        <v>0.35</v>
      </c>
      <c r="F99" s="31">
        <f>'Base Lease Info'!I17</f>
        <v>0.35</v>
      </c>
      <c r="G99" s="90">
        <f>E99*(E106/G106) + F99*(F106/G106)</f>
        <v>0.35</v>
      </c>
      <c r="H99" s="15"/>
      <c r="I99" s="11" t="s">
        <v>39</v>
      </c>
    </row>
    <row r="100" spans="2:9" x14ac:dyDescent="0.2">
      <c r="B100" s="18" t="s">
        <v>55</v>
      </c>
      <c r="C100" s="10">
        <f>IF($C95='Base Lease Info'!$J$75,(C108+C109-C98)*C99,IF((C108 + C109) &gt; C98,(C108+C109-C98)*C99,0))</f>
        <v>0</v>
      </c>
      <c r="D100" s="10">
        <f>IF($C95='Base Lease Info'!$J$75,(D108+D109-D98)*D99,IF((D108 + D109) &gt; D98,(D108+D109-D98)*D99,0))</f>
        <v>0</v>
      </c>
      <c r="E100" s="10">
        <f>IF($C95='Base Lease Info'!$J$75,(E108+E109-E98)*E99,IF((E108 + E109) &gt; E98,(E108+E109-E98)*E99,0))</f>
        <v>0</v>
      </c>
      <c r="F100" s="10">
        <f>IF($C95='Base Lease Info'!$J$75,(F108+F109-F98)*F99,IF((F108 + F109) &gt; F98,(F108+F109-F98)*F99,0))</f>
        <v>0</v>
      </c>
      <c r="G100" s="36">
        <f>IF($C95='Base Lease Info'!$J$75,(G108+G109-G98)*G99,IF((G108 + G109) &gt; G98,(G108+G109-G98)*G99,0))</f>
        <v>0</v>
      </c>
      <c r="H100" s="15"/>
      <c r="I100" s="11" t="s">
        <v>57</v>
      </c>
    </row>
    <row r="101" spans="2:9" ht="15.75" x14ac:dyDescent="0.25">
      <c r="B101" s="19" t="s">
        <v>56</v>
      </c>
      <c r="C101" s="9">
        <f>IF($C95='Base Lease Info'!$J$75,$C94+(C108+C109-C98)*C99,IF((C108 + C109) &gt; C98,$C94+(C108+C109-C98)*C99,$C94))</f>
        <v>125</v>
      </c>
      <c r="D101" s="9">
        <f>IF($C95='Base Lease Info'!$J$75,$C94+(D108+D109-D98)*D99,IF((D108 + D109) &gt; D98,$C94+(D108+D109-D98)*D99,$C94))</f>
        <v>125</v>
      </c>
      <c r="E101" s="9">
        <f>IF($C95='Base Lease Info'!$J$75,$C94/2+(E108+E109-E98)*E99,IF((E108 + E109) &gt; E98,$C94/2+(E108+E109-E98)*E99,$C94/2))</f>
        <v>62.5</v>
      </c>
      <c r="F101" s="9">
        <f>IF($C95='Base Lease Info'!$J$75,$C94/2+(F108+F109-F98)*F99,IF((F108 + F109) &gt; F98,$C94/2+(F108+F109-F98)*F99,$C94/2))</f>
        <v>62.5</v>
      </c>
      <c r="G101" s="72">
        <f>IF($C95='Base Lease Info'!$J$75,$C94+(G108+G109-G98)*G99,IF((G108 + G109) &gt; G98,$C94+(G108+G109-G98)*G99,$C94))</f>
        <v>125</v>
      </c>
      <c r="I101" t="s">
        <v>40</v>
      </c>
    </row>
    <row r="102" spans="2:9" ht="15.75" x14ac:dyDescent="0.25">
      <c r="B102" s="19" t="s">
        <v>58</v>
      </c>
      <c r="C102" s="323">
        <f>IF('Base Lease Info'!F12='Base Lease Info'!L75,C101*'Base Lease Info'!F8 + D101*'Base Lease Info'!G8 + G101*'Base Lease Info'!J8, C101*'Base Lease Info'!F8 + D101*'Base Lease Info'!G8 + E101*'Base Lease Info'!H8 + F101*'Base Lease Info'!H8)</f>
        <v>125</v>
      </c>
      <c r="D102" s="323"/>
      <c r="E102" s="323"/>
      <c r="F102" s="323"/>
      <c r="G102" s="324"/>
      <c r="I102" t="s">
        <v>48</v>
      </c>
    </row>
    <row r="103" spans="2:9" x14ac:dyDescent="0.2">
      <c r="B103" s="17" t="s">
        <v>19</v>
      </c>
      <c r="C103" s="325">
        <f>C102/$C93-1</f>
        <v>-0.16666666666666663</v>
      </c>
      <c r="D103" s="326"/>
      <c r="E103" s="326"/>
      <c r="F103" s="326"/>
      <c r="G103" s="327"/>
      <c r="I103" t="s">
        <v>49</v>
      </c>
    </row>
    <row r="104" spans="2:9" x14ac:dyDescent="0.2">
      <c r="B104" s="17"/>
      <c r="C104" s="8"/>
      <c r="D104" s="8"/>
      <c r="E104" s="8"/>
      <c r="F104" s="8"/>
      <c r="G104" s="73"/>
    </row>
    <row r="105" spans="2:9" x14ac:dyDescent="0.2">
      <c r="B105" s="20" t="s">
        <v>20</v>
      </c>
      <c r="C105" s="12" t="s">
        <v>22</v>
      </c>
      <c r="D105" s="12" t="s">
        <v>23</v>
      </c>
      <c r="E105" s="12" t="s">
        <v>73</v>
      </c>
      <c r="F105" s="12" t="s">
        <v>74</v>
      </c>
      <c r="G105" s="35" t="s">
        <v>76</v>
      </c>
    </row>
    <row r="106" spans="2:9" x14ac:dyDescent="0.2">
      <c r="B106" s="17" t="s">
        <v>0</v>
      </c>
      <c r="C106" s="92">
        <f>'Base Lease Info'!B55</f>
        <v>105</v>
      </c>
      <c r="D106" s="92">
        <f>'Base Lease Info'!C55</f>
        <v>31.5</v>
      </c>
      <c r="E106" s="92">
        <f>'Base Lease Info'!E55</f>
        <v>45.5</v>
      </c>
      <c r="F106" s="92">
        <f>'Base Lease Info'!D55</f>
        <v>24.5</v>
      </c>
      <c r="G106" s="108">
        <f>E106+F106</f>
        <v>70</v>
      </c>
      <c r="I106" t="s">
        <v>26</v>
      </c>
    </row>
    <row r="107" spans="2:9" x14ac:dyDescent="0.2">
      <c r="B107" s="17" t="s">
        <v>21</v>
      </c>
      <c r="C107" s="26">
        <f>'Base Lease Info'!F5</f>
        <v>3.75</v>
      </c>
      <c r="D107" s="26">
        <f>'Base Lease Info'!G5</f>
        <v>8.75</v>
      </c>
      <c r="E107" s="26">
        <f>'Base Lease Info'!H5</f>
        <v>4.75</v>
      </c>
      <c r="F107" s="26">
        <f>'Base Lease Info'!I5</f>
        <v>8.75</v>
      </c>
      <c r="G107" s="81">
        <f>E107*(E106/G106) + F107*(F106/G106)</f>
        <v>6.15</v>
      </c>
      <c r="I107" t="s">
        <v>27</v>
      </c>
    </row>
    <row r="108" spans="2:9" x14ac:dyDescent="0.2">
      <c r="B108" s="17" t="s">
        <v>5</v>
      </c>
      <c r="C108" s="3">
        <f>C106*C107</f>
        <v>393.75</v>
      </c>
      <c r="D108" s="3">
        <f>D106*D107</f>
        <v>275.625</v>
      </c>
      <c r="E108" s="3">
        <f t="shared" ref="E108:F108" si="17">E106*E107</f>
        <v>216.125</v>
      </c>
      <c r="F108" s="3">
        <f t="shared" si="17"/>
        <v>214.375</v>
      </c>
      <c r="G108" s="46">
        <f>G106*G107</f>
        <v>430.5</v>
      </c>
      <c r="I108" t="s">
        <v>41</v>
      </c>
    </row>
    <row r="109" spans="2:9" x14ac:dyDescent="0.2">
      <c r="B109" s="17" t="s">
        <v>13</v>
      </c>
      <c r="C109" s="3">
        <f>IF('Base Lease Info'!$F6='Base Lease Info'!$J$75,$C119,0)</f>
        <v>0</v>
      </c>
      <c r="D109" s="3">
        <f>IF('Base Lease Info'!$F6='Base Lease Info'!$J$75,$C119,0)</f>
        <v>0</v>
      </c>
      <c r="E109" s="3">
        <f>IF('Base Lease Info'!$F6='Base Lease Info'!$J$75,$C119,0)</f>
        <v>0</v>
      </c>
      <c r="F109" s="3">
        <f>IF('Base Lease Info'!$F6='Base Lease Info'!$J$75,$C119,0)</f>
        <v>0</v>
      </c>
      <c r="G109" s="39">
        <f>IF('Base Lease Info'!$F6='Base Lease Info'!$J$75,$C119,0)</f>
        <v>0</v>
      </c>
      <c r="I109" s="25" t="s">
        <v>63</v>
      </c>
    </row>
    <row r="110" spans="2:9" x14ac:dyDescent="0.2">
      <c r="B110" s="27" t="s">
        <v>107</v>
      </c>
      <c r="C110" s="6">
        <f>'Base Lease Info'!E80</f>
        <v>0</v>
      </c>
      <c r="D110" s="6">
        <f>'Base Lease Info'!F80</f>
        <v>0</v>
      </c>
      <c r="E110" s="6">
        <f>'Base Lease Info'!G80</f>
        <v>0</v>
      </c>
      <c r="F110" s="6">
        <f>'Base Lease Info'!H80</f>
        <v>0</v>
      </c>
      <c r="G110" s="38">
        <f>'Base Lease Info'!I80</f>
        <v>0</v>
      </c>
      <c r="I110" s="25"/>
    </row>
    <row r="111" spans="2:9" x14ac:dyDescent="0.2">
      <c r="B111" s="24" t="s">
        <v>43</v>
      </c>
      <c r="C111" s="14">
        <f>SUM(C108:C110)</f>
        <v>393.75</v>
      </c>
      <c r="D111" s="14">
        <f t="shared" ref="D111:G111" si="18">SUM(D108:D110)</f>
        <v>275.625</v>
      </c>
      <c r="E111" s="14">
        <f t="shared" si="18"/>
        <v>216.125</v>
      </c>
      <c r="F111" s="14">
        <f t="shared" si="18"/>
        <v>214.375</v>
      </c>
      <c r="G111" s="76">
        <f t="shared" si="18"/>
        <v>430.5</v>
      </c>
      <c r="I111" t="s">
        <v>42</v>
      </c>
    </row>
    <row r="112" spans="2:9" x14ac:dyDescent="0.2">
      <c r="B112" s="24"/>
      <c r="C112" s="14"/>
      <c r="D112" s="14"/>
      <c r="E112" s="14"/>
      <c r="F112" s="14"/>
      <c r="G112" s="76"/>
    </row>
    <row r="113" spans="2:9" x14ac:dyDescent="0.2">
      <c r="B113" s="40" t="s">
        <v>79</v>
      </c>
      <c r="C113" s="14"/>
      <c r="D113" s="14"/>
      <c r="E113" s="14"/>
      <c r="F113" s="14"/>
      <c r="G113" s="76"/>
    </row>
    <row r="114" spans="2:9" x14ac:dyDescent="0.2">
      <c r="B114" s="27" t="s">
        <v>81</v>
      </c>
      <c r="C114" s="95">
        <f>'Base Lease Info'!E83</f>
        <v>0.8</v>
      </c>
      <c r="D114" s="96"/>
      <c r="E114" s="96"/>
      <c r="F114" s="4"/>
      <c r="G114" s="37"/>
    </row>
    <row r="115" spans="2:9" x14ac:dyDescent="0.2">
      <c r="B115" s="27" t="s">
        <v>80</v>
      </c>
      <c r="C115" s="95">
        <f>'Base Lease Info'!E84</f>
        <v>0.5</v>
      </c>
      <c r="D115" s="95">
        <f>'Base Lease Info'!F84</f>
        <v>0.4</v>
      </c>
      <c r="E115" s="95">
        <f>'Base Lease Info'!G84</f>
        <v>9.9999999999999978E-2</v>
      </c>
      <c r="F115" s="3"/>
      <c r="G115" s="39"/>
    </row>
    <row r="116" spans="2:9" x14ac:dyDescent="0.2">
      <c r="B116" s="80" t="s">
        <v>82</v>
      </c>
      <c r="C116" s="93">
        <f>'Base Lease Info'!E85</f>
        <v>3.7</v>
      </c>
      <c r="D116" s="93">
        <f>'Base Lease Info'!F85</f>
        <v>8.4</v>
      </c>
      <c r="E116" s="93">
        <f>'Base Lease Info'!G85</f>
        <v>5.5</v>
      </c>
      <c r="F116" s="3"/>
      <c r="G116" s="39"/>
      <c r="I116" s="25" t="s">
        <v>106</v>
      </c>
    </row>
    <row r="117" spans="2:9" x14ac:dyDescent="0.2">
      <c r="B117" s="27" t="s">
        <v>83</v>
      </c>
      <c r="C117" s="97">
        <f>'Base Lease Info'!E86</f>
        <v>155</v>
      </c>
      <c r="D117" s="97">
        <f>'Base Lease Info'!F86</f>
        <v>48</v>
      </c>
      <c r="E117" s="97">
        <f>'Base Lease Info'!G86</f>
        <v>60</v>
      </c>
      <c r="F117" s="28"/>
      <c r="G117" s="77"/>
    </row>
    <row r="118" spans="2:9" x14ac:dyDescent="0.2">
      <c r="B118" s="27" t="s">
        <v>84</v>
      </c>
      <c r="C118" s="3">
        <f>IF(C107&lt;C116,(C116-C107)*C117*0.85,0)</f>
        <v>0</v>
      </c>
      <c r="D118" s="3">
        <f>IF(D107&lt;D116,(D116-D107)*D117*0.85,0)</f>
        <v>0</v>
      </c>
      <c r="E118" s="3">
        <f>IF(E107&lt;E116,(E116-E107)*E117*0.85,0)</f>
        <v>38.25</v>
      </c>
      <c r="F118" s="28"/>
      <c r="G118" s="77"/>
    </row>
    <row r="119" spans="2:9" x14ac:dyDescent="0.2">
      <c r="B119" s="27" t="s">
        <v>85</v>
      </c>
      <c r="C119" s="320">
        <f>(C118*C115+D118*D115+E118*E115)*C114</f>
        <v>3.0599999999999996</v>
      </c>
      <c r="D119" s="321"/>
      <c r="E119" s="322"/>
      <c r="F119" s="3"/>
      <c r="G119" s="39"/>
    </row>
    <row r="120" spans="2:9" x14ac:dyDescent="0.2">
      <c r="B120" s="27"/>
      <c r="C120" s="29"/>
      <c r="D120" s="3"/>
      <c r="E120" s="3"/>
      <c r="F120" s="3"/>
      <c r="G120" s="39"/>
    </row>
    <row r="121" spans="2:9" x14ac:dyDescent="0.2">
      <c r="B121" s="17"/>
      <c r="C121" s="2"/>
      <c r="D121" s="2"/>
      <c r="E121" s="2"/>
      <c r="F121" s="2"/>
      <c r="G121" s="78"/>
    </row>
    <row r="122" spans="2:9" x14ac:dyDescent="0.2">
      <c r="B122" s="16" t="s">
        <v>1</v>
      </c>
      <c r="C122" s="2"/>
      <c r="D122" s="2"/>
      <c r="E122" s="2"/>
      <c r="F122" s="2"/>
      <c r="G122" s="78"/>
    </row>
    <row r="123" spans="2:9" x14ac:dyDescent="0.2">
      <c r="B123" s="17" t="s">
        <v>2</v>
      </c>
      <c r="C123" s="3">
        <f>'Base Lease Info'!F25</f>
        <v>275</v>
      </c>
      <c r="D123" s="3">
        <f>'Base Lease Info'!G25</f>
        <v>150</v>
      </c>
      <c r="E123" s="3">
        <f>'Base Lease Info'!H25</f>
        <v>140</v>
      </c>
      <c r="F123" s="3">
        <f>'Base Lease Info'!I25</f>
        <v>150</v>
      </c>
      <c r="G123" s="39">
        <f>E123+F123</f>
        <v>290</v>
      </c>
      <c r="I123" t="s">
        <v>45</v>
      </c>
    </row>
    <row r="124" spans="2:9" x14ac:dyDescent="0.2">
      <c r="B124" s="17" t="s">
        <v>6</v>
      </c>
      <c r="C124" s="3">
        <f>'Base Lease Info'!F26</f>
        <v>140</v>
      </c>
      <c r="D124" s="3">
        <f>'Base Lease Info'!G26</f>
        <v>90</v>
      </c>
      <c r="E124" s="3">
        <f>'Base Lease Info'!H26</f>
        <v>90</v>
      </c>
      <c r="F124" s="3">
        <f>'Base Lease Info'!I26</f>
        <v>85</v>
      </c>
      <c r="G124" s="39">
        <f t="shared" ref="G124:G125" si="19">E124+F124</f>
        <v>175</v>
      </c>
      <c r="I124" t="s">
        <v>46</v>
      </c>
    </row>
    <row r="125" spans="2:9" x14ac:dyDescent="0.2">
      <c r="B125" s="17" t="s">
        <v>3</v>
      </c>
      <c r="C125" s="3">
        <f>'Base Lease Info'!F27</f>
        <v>60</v>
      </c>
      <c r="D125" s="3">
        <f>'Base Lease Info'!G27</f>
        <v>40</v>
      </c>
      <c r="E125" s="3">
        <f>'Base Lease Info'!H27</f>
        <v>40</v>
      </c>
      <c r="F125" s="3">
        <f>'Base Lease Info'!I27</f>
        <v>40</v>
      </c>
      <c r="G125" s="39">
        <f t="shared" si="19"/>
        <v>80</v>
      </c>
      <c r="I125" t="s">
        <v>47</v>
      </c>
    </row>
    <row r="126" spans="2:9" x14ac:dyDescent="0.2">
      <c r="B126" s="17" t="s">
        <v>4</v>
      </c>
      <c r="C126" s="6">
        <f>$C101</f>
        <v>125</v>
      </c>
      <c r="D126" s="6">
        <f>D101</f>
        <v>125</v>
      </c>
      <c r="E126" s="6">
        <f t="shared" ref="E126:F126" si="20">E101</f>
        <v>62.5</v>
      </c>
      <c r="F126" s="6">
        <f t="shared" si="20"/>
        <v>62.5</v>
      </c>
      <c r="G126" s="38">
        <f>G101</f>
        <v>125</v>
      </c>
      <c r="I126" t="s">
        <v>60</v>
      </c>
    </row>
    <row r="127" spans="2:9" x14ac:dyDescent="0.2">
      <c r="B127" s="24" t="s">
        <v>44</v>
      </c>
      <c r="C127" s="14">
        <f>SUM(C123:C126)</f>
        <v>600</v>
      </c>
      <c r="D127" s="14">
        <f>SUM(D123:D126)</f>
        <v>405</v>
      </c>
      <c r="E127" s="14">
        <f t="shared" ref="E127" si="21">SUM(E123:E126)</f>
        <v>332.5</v>
      </c>
      <c r="F127" s="14">
        <f>SUM(F123:F126)</f>
        <v>337.5</v>
      </c>
      <c r="G127" s="39">
        <f>SUM(G123:G126)</f>
        <v>670</v>
      </c>
      <c r="I127" t="s">
        <v>61</v>
      </c>
    </row>
    <row r="128" spans="2:9" x14ac:dyDescent="0.2">
      <c r="B128" s="17"/>
      <c r="C128" s="2"/>
      <c r="D128" s="2"/>
      <c r="E128" s="2"/>
      <c r="F128" s="2"/>
      <c r="G128" s="78"/>
    </row>
    <row r="129" spans="2:9" x14ac:dyDescent="0.2">
      <c r="B129" s="18" t="s">
        <v>8</v>
      </c>
      <c r="C129" s="3">
        <f>C111</f>
        <v>393.75</v>
      </c>
      <c r="D129" s="3">
        <f t="shared" ref="D129:G129" si="22">D111</f>
        <v>275.625</v>
      </c>
      <c r="E129" s="3">
        <f t="shared" si="22"/>
        <v>216.125</v>
      </c>
      <c r="F129" s="3">
        <f t="shared" si="22"/>
        <v>214.375</v>
      </c>
      <c r="G129" s="39">
        <f t="shared" si="22"/>
        <v>430.5</v>
      </c>
      <c r="I129" s="25" t="s">
        <v>67</v>
      </c>
    </row>
    <row r="130" spans="2:9" x14ac:dyDescent="0.2">
      <c r="B130" s="17" t="s">
        <v>9</v>
      </c>
      <c r="C130" s="5">
        <f>SUM(C123:C126)</f>
        <v>600</v>
      </c>
      <c r="D130" s="5">
        <f>SUM(D123:D126)</f>
        <v>405</v>
      </c>
      <c r="E130" s="5">
        <f t="shared" ref="E130" si="23">SUM(E123:E126)</f>
        <v>332.5</v>
      </c>
      <c r="F130" s="5">
        <f>SUM(F123:F126)</f>
        <v>337.5</v>
      </c>
      <c r="G130" s="39">
        <f>SUM(G123:G126)</f>
        <v>670</v>
      </c>
    </row>
    <row r="131" spans="2:9" x14ac:dyDescent="0.2">
      <c r="B131" s="21" t="s">
        <v>7</v>
      </c>
      <c r="C131" s="10">
        <f>C129-C130</f>
        <v>-206.25</v>
      </c>
      <c r="D131" s="10">
        <f>D129-D130</f>
        <v>-129.375</v>
      </c>
      <c r="E131" s="10">
        <f>E129-E130</f>
        <v>-116.375</v>
      </c>
      <c r="F131" s="10">
        <f t="shared" ref="F131:G131" si="24">F129-F130</f>
        <v>-123.125</v>
      </c>
      <c r="G131" s="36">
        <f t="shared" si="24"/>
        <v>-239.5</v>
      </c>
      <c r="I131" t="s">
        <v>50</v>
      </c>
    </row>
    <row r="132" spans="2:9" ht="13.5" thickBot="1" x14ac:dyDescent="0.25">
      <c r="B132" s="91" t="s">
        <v>25</v>
      </c>
      <c r="C132" s="328">
        <f>IF('Base Lease Info'!F12='Base Lease Info'!L76,C131*'Base Lease Info'!F8 + D131*'Base Lease Info'!G8 + E131*'Base Lease Info'!H8 + F131*'Base Lease Info'!H8,C131*'Base Lease Info'!F8 + D131*'Base Lease Info'!G8 + G131*'Base Lease Info'!J8)</f>
        <v>-195.34375</v>
      </c>
      <c r="D132" s="329"/>
      <c r="E132" s="329"/>
      <c r="F132" s="329"/>
      <c r="G132" s="330"/>
      <c r="I132" t="s">
        <v>51</v>
      </c>
    </row>
    <row r="133" spans="2:9" ht="13.5" thickTop="1" x14ac:dyDescent="0.2"/>
    <row r="134" spans="2:9" x14ac:dyDescent="0.2">
      <c r="B134" s="1" t="s">
        <v>59</v>
      </c>
    </row>
    <row r="136" spans="2:9" ht="13.5" thickBot="1" x14ac:dyDescent="0.25"/>
    <row r="137" spans="2:9" ht="17.25" thickTop="1" thickBot="1" x14ac:dyDescent="0.3">
      <c r="B137" s="334" t="s">
        <v>105</v>
      </c>
      <c r="C137" s="335"/>
      <c r="D137" s="335"/>
      <c r="E137" s="335"/>
      <c r="F137" s="335"/>
      <c r="G137" s="336"/>
      <c r="I137" s="7"/>
    </row>
    <row r="138" spans="2:9" ht="13.5" thickTop="1" x14ac:dyDescent="0.2">
      <c r="B138" s="68" t="s">
        <v>14</v>
      </c>
      <c r="C138" s="337"/>
      <c r="D138" s="337"/>
      <c r="E138" s="131"/>
      <c r="F138" s="131"/>
      <c r="G138" s="69"/>
      <c r="I138" s="7" t="s">
        <v>18</v>
      </c>
    </row>
    <row r="139" spans="2:9" x14ac:dyDescent="0.2">
      <c r="B139" s="17" t="s">
        <v>31</v>
      </c>
      <c r="C139" s="331">
        <f>'Base Lease Info'!F21</f>
        <v>150</v>
      </c>
      <c r="D139" s="332"/>
      <c r="E139" s="332"/>
      <c r="F139" s="332"/>
      <c r="G139" s="333"/>
      <c r="I139" s="7"/>
    </row>
    <row r="140" spans="2:9" x14ac:dyDescent="0.2">
      <c r="B140" s="17" t="s">
        <v>10</v>
      </c>
      <c r="C140" s="331">
        <f>'Base Lease Info'!F10</f>
        <v>125</v>
      </c>
      <c r="D140" s="332"/>
      <c r="E140" s="332"/>
      <c r="F140" s="332"/>
      <c r="G140" s="333"/>
      <c r="H140" s="15"/>
      <c r="I140" s="11"/>
    </row>
    <row r="141" spans="2:9" x14ac:dyDescent="0.2">
      <c r="B141" s="17" t="s">
        <v>32</v>
      </c>
      <c r="C141" s="331" t="str">
        <f>'Base Lease Info'!F11</f>
        <v>No</v>
      </c>
      <c r="D141" s="332"/>
      <c r="E141" s="332"/>
      <c r="F141" s="332"/>
      <c r="G141" s="333"/>
      <c r="H141" s="15"/>
      <c r="I141" s="11" t="s">
        <v>62</v>
      </c>
    </row>
    <row r="142" spans="2:9" x14ac:dyDescent="0.2">
      <c r="B142" s="27"/>
      <c r="C142" s="12" t="s">
        <v>22</v>
      </c>
      <c r="D142" s="12" t="s">
        <v>23</v>
      </c>
      <c r="E142" s="12" t="s">
        <v>73</v>
      </c>
      <c r="F142" s="12" t="s">
        <v>74</v>
      </c>
      <c r="G142" s="35" t="s">
        <v>76</v>
      </c>
      <c r="H142" s="15"/>
      <c r="I142" s="11"/>
    </row>
    <row r="143" spans="2:9" x14ac:dyDescent="0.2">
      <c r="B143" s="80" t="s">
        <v>12</v>
      </c>
      <c r="C143" s="31">
        <f>'Base Lease Info'!F17</f>
        <v>0.35</v>
      </c>
      <c r="D143" s="31">
        <f>'Base Lease Info'!G17</f>
        <v>0.4</v>
      </c>
      <c r="E143" s="31">
        <f>'Base Lease Info'!H17</f>
        <v>0.35</v>
      </c>
      <c r="F143" s="31">
        <f>'Base Lease Info'!I17</f>
        <v>0.35</v>
      </c>
      <c r="G143" s="71">
        <f>E143*(E149/G149) + F143*(F149/G149)</f>
        <v>0.35</v>
      </c>
      <c r="H143" s="15"/>
      <c r="I143" s="11" t="s">
        <v>39</v>
      </c>
    </row>
    <row r="144" spans="2:9" ht="15.75" x14ac:dyDescent="0.25">
      <c r="B144" s="19" t="s">
        <v>91</v>
      </c>
      <c r="C144" s="9">
        <f>IF($C$141='Base Lease Info'!$J$75,C172*C143,IF(C172*C143&gt;$C$140,C172*C143,$C$140))</f>
        <v>137.8125</v>
      </c>
      <c r="D144" s="9">
        <f>IF($C$141='Base Lease Info'!$J$75,D172*D143,IF(D172*D143&gt;$C$140,D172*D143,$C$140))</f>
        <v>125</v>
      </c>
      <c r="E144" s="9">
        <f>IF($C$141='Base Lease Info'!$J$75,E172*E143,IF(E172*E143&gt;$C$140/2,E172*E143,$C$140/2))</f>
        <v>75.643749999999997</v>
      </c>
      <c r="F144" s="9">
        <f>IF($C$141='Base Lease Info'!$J$75,F172*F143,IF(F172*F143&gt;$C$140/2,F172*F143,$C$140/2))</f>
        <v>75.03125</v>
      </c>
      <c r="G144" s="72">
        <f>IF($C$141='Base Lease Info'!$J$75,G172*G143,IF(G172*G143&gt;$C$140,G172*G143,$C$140))</f>
        <v>150.67499999999998</v>
      </c>
      <c r="I144" t="s">
        <v>40</v>
      </c>
    </row>
    <row r="145" spans="2:9" ht="15.75" x14ac:dyDescent="0.25">
      <c r="B145" s="19" t="s">
        <v>58</v>
      </c>
      <c r="C145" s="323">
        <f>IF('Base Lease Info'!F12='Base Lease Info'!L75,C144*'Base Lease Info'!F8 + D144*'Base Lease Info'!G8 + G144*'Base Lease Info'!J8, C144*'Base Lease Info'!F8 + D144*'Base Lease Info'!G8 + E144*'Base Lease Info'!H8 + F144*'Base Lease Info'!H8)</f>
        <v>137.82499999999999</v>
      </c>
      <c r="D145" s="323"/>
      <c r="E145" s="323"/>
      <c r="F145" s="323"/>
      <c r="G145" s="324"/>
      <c r="I145" t="s">
        <v>48</v>
      </c>
    </row>
    <row r="146" spans="2:9" x14ac:dyDescent="0.2">
      <c r="B146" s="17" t="s">
        <v>19</v>
      </c>
      <c r="C146" s="325">
        <f>C145/$C139-1</f>
        <v>-8.116666666666672E-2</v>
      </c>
      <c r="D146" s="326"/>
      <c r="E146" s="326"/>
      <c r="F146" s="326"/>
      <c r="G146" s="327"/>
      <c r="I146" t="s">
        <v>49</v>
      </c>
    </row>
    <row r="147" spans="2:9" x14ac:dyDescent="0.2">
      <c r="B147" s="17"/>
      <c r="C147" s="8"/>
      <c r="D147" s="8"/>
      <c r="E147" s="8"/>
      <c r="F147" s="8"/>
      <c r="G147" s="73"/>
    </row>
    <row r="148" spans="2:9" x14ac:dyDescent="0.2">
      <c r="B148" s="20" t="s">
        <v>20</v>
      </c>
      <c r="C148" s="12" t="s">
        <v>22</v>
      </c>
      <c r="D148" s="12" t="s">
        <v>23</v>
      </c>
      <c r="E148" s="12" t="s">
        <v>73</v>
      </c>
      <c r="F148" s="12" t="s">
        <v>74</v>
      </c>
      <c r="G148" s="35" t="s">
        <v>76</v>
      </c>
    </row>
    <row r="149" spans="2:9" x14ac:dyDescent="0.2">
      <c r="B149" s="17" t="s">
        <v>0</v>
      </c>
      <c r="C149" s="92">
        <f>'Base Lease Info'!B55</f>
        <v>105</v>
      </c>
      <c r="D149" s="92">
        <f>'Base Lease Info'!C55</f>
        <v>31.5</v>
      </c>
      <c r="E149" s="92">
        <f>'Base Lease Info'!E55</f>
        <v>45.5</v>
      </c>
      <c r="F149" s="92">
        <f>'Base Lease Info'!D55</f>
        <v>24.5</v>
      </c>
      <c r="G149" s="74">
        <f>E149+F149</f>
        <v>70</v>
      </c>
      <c r="I149" t="s">
        <v>26</v>
      </c>
    </row>
    <row r="150" spans="2:9" x14ac:dyDescent="0.2">
      <c r="B150" s="17" t="s">
        <v>21</v>
      </c>
      <c r="C150" s="26">
        <f>'Base Lease Info'!F5</f>
        <v>3.75</v>
      </c>
      <c r="D150" s="26">
        <f>'Base Lease Info'!G5</f>
        <v>8.75</v>
      </c>
      <c r="E150" s="26">
        <f>'Base Lease Info'!H5</f>
        <v>4.75</v>
      </c>
      <c r="F150" s="26">
        <f>'Base Lease Info'!I5</f>
        <v>8.75</v>
      </c>
      <c r="G150" s="75">
        <f>E150*(E149/G149) + F150*(F149/G149)</f>
        <v>6.15</v>
      </c>
      <c r="I150" t="s">
        <v>27</v>
      </c>
    </row>
    <row r="151" spans="2:9" x14ac:dyDescent="0.2">
      <c r="B151" s="17" t="s">
        <v>5</v>
      </c>
      <c r="C151" s="3">
        <f>C149*C150</f>
        <v>393.75</v>
      </c>
      <c r="D151" s="3">
        <f>D149*D150</f>
        <v>275.625</v>
      </c>
      <c r="E151" s="3">
        <f t="shared" ref="E151:F151" si="25">E149*E150</f>
        <v>216.125</v>
      </c>
      <c r="F151" s="3">
        <f t="shared" si="25"/>
        <v>214.375</v>
      </c>
      <c r="G151" s="46">
        <f>G149*G150</f>
        <v>430.5</v>
      </c>
      <c r="I151" t="s">
        <v>41</v>
      </c>
    </row>
    <row r="152" spans="2:9" x14ac:dyDescent="0.2">
      <c r="B152" s="17" t="s">
        <v>13</v>
      </c>
      <c r="C152" s="3">
        <f>IF('Base Lease Info'!$F6='Base Lease Info'!$J$75,$C162,0)</f>
        <v>0</v>
      </c>
      <c r="D152" s="3">
        <f>IF('Base Lease Info'!$F6='Base Lease Info'!$J$75,$C162,0)</f>
        <v>0</v>
      </c>
      <c r="E152" s="3">
        <f>IF('Base Lease Info'!$F6='Base Lease Info'!$J$75,$C162,0)</f>
        <v>0</v>
      </c>
      <c r="F152" s="3">
        <f>IF('Base Lease Info'!$F6='Base Lease Info'!$J$75,$C162,0)</f>
        <v>0</v>
      </c>
      <c r="G152" s="39">
        <f>IF('Base Lease Info'!$F6='Base Lease Info'!$J$75,$C162,0)</f>
        <v>0</v>
      </c>
      <c r="I152" s="25" t="s">
        <v>63</v>
      </c>
    </row>
    <row r="153" spans="2:9" x14ac:dyDescent="0.2">
      <c r="B153" s="27" t="s">
        <v>107</v>
      </c>
      <c r="C153" s="6">
        <f>'Base Lease Info'!E80</f>
        <v>0</v>
      </c>
      <c r="D153" s="6">
        <f>'Base Lease Info'!F80</f>
        <v>0</v>
      </c>
      <c r="E153" s="6">
        <f>'Base Lease Info'!G80</f>
        <v>0</v>
      </c>
      <c r="F153" s="6">
        <f>'Base Lease Info'!H80</f>
        <v>0</v>
      </c>
      <c r="G153" s="38">
        <f>'Base Lease Info'!I80</f>
        <v>0</v>
      </c>
      <c r="I153" s="25"/>
    </row>
    <row r="154" spans="2:9" x14ac:dyDescent="0.2">
      <c r="B154" s="24" t="s">
        <v>43</v>
      </c>
      <c r="C154" s="14">
        <f>SUM(C151:C153)</f>
        <v>393.75</v>
      </c>
      <c r="D154" s="14">
        <f t="shared" ref="D154:G154" si="26">SUM(D151:D153)</f>
        <v>275.625</v>
      </c>
      <c r="E154" s="14">
        <f t="shared" si="26"/>
        <v>216.125</v>
      </c>
      <c r="F154" s="14">
        <f t="shared" si="26"/>
        <v>214.375</v>
      </c>
      <c r="G154" s="76">
        <f t="shared" si="26"/>
        <v>430.5</v>
      </c>
      <c r="I154" t="s">
        <v>42</v>
      </c>
    </row>
    <row r="155" spans="2:9" x14ac:dyDescent="0.2">
      <c r="B155" s="24"/>
      <c r="C155" s="14"/>
      <c r="D155" s="14"/>
      <c r="E155" s="14"/>
      <c r="F155" s="14"/>
      <c r="G155" s="76"/>
    </row>
    <row r="156" spans="2:9" x14ac:dyDescent="0.2">
      <c r="B156" s="40" t="s">
        <v>79</v>
      </c>
      <c r="C156" s="14"/>
      <c r="D156" s="14"/>
      <c r="E156" s="14"/>
      <c r="F156" s="14"/>
      <c r="G156" s="76"/>
    </row>
    <row r="157" spans="2:9" x14ac:dyDescent="0.2">
      <c r="B157" s="27" t="s">
        <v>81</v>
      </c>
      <c r="C157" s="95">
        <f>'Base Lease Info'!E83</f>
        <v>0.8</v>
      </c>
      <c r="D157" s="96"/>
      <c r="E157" s="96"/>
      <c r="F157" s="4"/>
      <c r="G157" s="37"/>
    </row>
    <row r="158" spans="2:9" x14ac:dyDescent="0.2">
      <c r="B158" s="27" t="s">
        <v>80</v>
      </c>
      <c r="C158" s="95">
        <f>'Base Lease Info'!E84</f>
        <v>0.5</v>
      </c>
      <c r="D158" s="95">
        <f>'Base Lease Info'!F84</f>
        <v>0.4</v>
      </c>
      <c r="E158" s="95">
        <f>'Base Lease Info'!G84</f>
        <v>9.9999999999999978E-2</v>
      </c>
      <c r="F158" s="3"/>
      <c r="G158" s="39"/>
    </row>
    <row r="159" spans="2:9" x14ac:dyDescent="0.2">
      <c r="B159" s="27" t="s">
        <v>82</v>
      </c>
      <c r="C159" s="93">
        <f>'Base Lease Info'!E85</f>
        <v>3.7</v>
      </c>
      <c r="D159" s="93">
        <f>'Base Lease Info'!F85</f>
        <v>8.4</v>
      </c>
      <c r="E159" s="93">
        <f>'Base Lease Info'!G85</f>
        <v>5.5</v>
      </c>
      <c r="F159" s="3"/>
      <c r="G159" s="39"/>
    </row>
    <row r="160" spans="2:9" x14ac:dyDescent="0.2">
      <c r="B160" s="27" t="s">
        <v>83</v>
      </c>
      <c r="C160" s="97">
        <f>'Base Lease Info'!E86</f>
        <v>155</v>
      </c>
      <c r="D160" s="97">
        <f>'Base Lease Info'!F86</f>
        <v>48</v>
      </c>
      <c r="E160" s="97">
        <f>'Base Lease Info'!G86</f>
        <v>60</v>
      </c>
      <c r="F160" s="28"/>
      <c r="G160" s="77"/>
    </row>
    <row r="161" spans="2:9" x14ac:dyDescent="0.2">
      <c r="B161" s="27" t="s">
        <v>84</v>
      </c>
      <c r="C161" s="3">
        <f>IF(C150&lt;C159,(C159-C150)*C160*0.85,0)</f>
        <v>0</v>
      </c>
      <c r="D161" s="3">
        <f t="shared" ref="D161:E161" si="27">IF(D150&lt;D159,(D159-D150)*D160*0.85,0)</f>
        <v>0</v>
      </c>
      <c r="E161" s="3">
        <f t="shared" si="27"/>
        <v>38.25</v>
      </c>
      <c r="F161" s="28"/>
      <c r="G161" s="77"/>
    </row>
    <row r="162" spans="2:9" x14ac:dyDescent="0.2">
      <c r="B162" s="27" t="s">
        <v>85</v>
      </c>
      <c r="C162" s="320">
        <f>(C161*C158+D161*D158+E161*E158)*C157</f>
        <v>3.0599999999999996</v>
      </c>
      <c r="D162" s="321"/>
      <c r="E162" s="322"/>
      <c r="F162" s="3"/>
      <c r="G162" s="39"/>
    </row>
    <row r="163" spans="2:9" x14ac:dyDescent="0.2">
      <c r="B163" s="27"/>
      <c r="C163" s="29"/>
      <c r="D163" s="3"/>
      <c r="E163" s="3"/>
      <c r="F163" s="3"/>
      <c r="G163" s="39"/>
    </row>
    <row r="164" spans="2:9" x14ac:dyDescent="0.2">
      <c r="B164" s="17"/>
      <c r="C164" s="2"/>
      <c r="D164" s="2"/>
      <c r="E164" s="2"/>
      <c r="F164" s="2"/>
      <c r="G164" s="78"/>
    </row>
    <row r="165" spans="2:9" x14ac:dyDescent="0.2">
      <c r="B165" s="16" t="s">
        <v>1</v>
      </c>
      <c r="C165" s="2"/>
      <c r="D165" s="2"/>
      <c r="E165" s="2"/>
      <c r="F165" s="2"/>
      <c r="G165" s="78"/>
    </row>
    <row r="166" spans="2:9" x14ac:dyDescent="0.2">
      <c r="B166" s="17" t="s">
        <v>2</v>
      </c>
      <c r="C166" s="3">
        <f>'Base Lease Info'!F25</f>
        <v>275</v>
      </c>
      <c r="D166" s="3">
        <f>'Base Lease Info'!G25</f>
        <v>150</v>
      </c>
      <c r="E166" s="3">
        <f>'Base Lease Info'!H25</f>
        <v>140</v>
      </c>
      <c r="F166" s="3">
        <f>'Base Lease Info'!I25</f>
        <v>150</v>
      </c>
      <c r="G166" s="39">
        <f>E166+F166</f>
        <v>290</v>
      </c>
      <c r="I166" t="s">
        <v>45</v>
      </c>
    </row>
    <row r="167" spans="2:9" x14ac:dyDescent="0.2">
      <c r="B167" s="17" t="s">
        <v>6</v>
      </c>
      <c r="C167" s="3">
        <f>'Base Lease Info'!F26</f>
        <v>140</v>
      </c>
      <c r="D167" s="3">
        <f>'Base Lease Info'!G26</f>
        <v>90</v>
      </c>
      <c r="E167" s="3">
        <f>'Base Lease Info'!H26</f>
        <v>90</v>
      </c>
      <c r="F167" s="3">
        <f>'Base Lease Info'!I26</f>
        <v>85</v>
      </c>
      <c r="G167" s="39">
        <f t="shared" ref="G167:G168" si="28">E167+F167</f>
        <v>175</v>
      </c>
      <c r="I167" t="s">
        <v>46</v>
      </c>
    </row>
    <row r="168" spans="2:9" x14ac:dyDescent="0.2">
      <c r="B168" s="17" t="s">
        <v>3</v>
      </c>
      <c r="C168" s="3">
        <f>'Base Lease Info'!F27</f>
        <v>60</v>
      </c>
      <c r="D168" s="3">
        <f>'Base Lease Info'!G27</f>
        <v>40</v>
      </c>
      <c r="E168" s="3">
        <f>'Base Lease Info'!H27</f>
        <v>40</v>
      </c>
      <c r="F168" s="3">
        <f>'Base Lease Info'!I27</f>
        <v>40</v>
      </c>
      <c r="G168" s="39">
        <f t="shared" si="28"/>
        <v>80</v>
      </c>
      <c r="I168" t="s">
        <v>47</v>
      </c>
    </row>
    <row r="169" spans="2:9" x14ac:dyDescent="0.2">
      <c r="B169" s="18" t="s">
        <v>4</v>
      </c>
      <c r="C169" s="6">
        <f>$C144</f>
        <v>137.8125</v>
      </c>
      <c r="D169" s="6">
        <f>D144</f>
        <v>125</v>
      </c>
      <c r="E169" s="6">
        <f>E144</f>
        <v>75.643749999999997</v>
      </c>
      <c r="F169" s="6">
        <f>F144</f>
        <v>75.03125</v>
      </c>
      <c r="G169" s="38">
        <f>G144</f>
        <v>150.67499999999998</v>
      </c>
      <c r="I169" t="s">
        <v>60</v>
      </c>
    </row>
    <row r="170" spans="2:9" x14ac:dyDescent="0.2">
      <c r="B170" s="24" t="s">
        <v>44</v>
      </c>
      <c r="C170" s="14">
        <f>SUM(C166:C169)</f>
        <v>612.8125</v>
      </c>
      <c r="D170" s="14">
        <f>SUM(D166:D169)</f>
        <v>405</v>
      </c>
      <c r="E170" s="14">
        <f t="shared" ref="E170" si="29">SUM(E166:E169)</f>
        <v>345.64375000000001</v>
      </c>
      <c r="F170" s="14">
        <f>SUM(F166:F169)</f>
        <v>350.03125</v>
      </c>
      <c r="G170" s="39">
        <f>SUM(G166:G169)</f>
        <v>695.67499999999995</v>
      </c>
      <c r="I170" t="s">
        <v>61</v>
      </c>
    </row>
    <row r="171" spans="2:9" x14ac:dyDescent="0.2">
      <c r="B171" s="17"/>
      <c r="C171" s="2"/>
      <c r="D171" s="2"/>
      <c r="E171" s="2"/>
      <c r="F171" s="2"/>
      <c r="G171" s="78"/>
    </row>
    <row r="172" spans="2:9" x14ac:dyDescent="0.2">
      <c r="B172" s="17" t="s">
        <v>8</v>
      </c>
      <c r="C172" s="3">
        <f>C154</f>
        <v>393.75</v>
      </c>
      <c r="D172" s="3">
        <f t="shared" ref="D172:G172" si="30">D154</f>
        <v>275.625</v>
      </c>
      <c r="E172" s="3">
        <f t="shared" si="30"/>
        <v>216.125</v>
      </c>
      <c r="F172" s="3">
        <f t="shared" si="30"/>
        <v>214.375</v>
      </c>
      <c r="G172" s="39">
        <f t="shared" si="30"/>
        <v>430.5</v>
      </c>
      <c r="I172" s="25" t="s">
        <v>67</v>
      </c>
    </row>
    <row r="173" spans="2:9" x14ac:dyDescent="0.2">
      <c r="B173" s="17" t="s">
        <v>9</v>
      </c>
      <c r="C173" s="5">
        <f>SUM(C166:C169)</f>
        <v>612.8125</v>
      </c>
      <c r="D173" s="5">
        <f t="shared" ref="D173:G173" si="31">SUM(D166:D169)</f>
        <v>405</v>
      </c>
      <c r="E173" s="5">
        <f t="shared" si="31"/>
        <v>345.64375000000001</v>
      </c>
      <c r="F173" s="5">
        <f t="shared" si="31"/>
        <v>350.03125</v>
      </c>
      <c r="G173" s="85">
        <f t="shared" si="31"/>
        <v>695.67499999999995</v>
      </c>
    </row>
    <row r="174" spans="2:9" x14ac:dyDescent="0.2">
      <c r="B174" s="21" t="s">
        <v>7</v>
      </c>
      <c r="C174" s="10">
        <f>C172-C173</f>
        <v>-219.0625</v>
      </c>
      <c r="D174" s="10">
        <f>D172-D173</f>
        <v>-129.375</v>
      </c>
      <c r="E174" s="10">
        <f>E172-E173</f>
        <v>-129.51875000000001</v>
      </c>
      <c r="F174" s="10">
        <f t="shared" ref="F174:G174" si="32">F172-F173</f>
        <v>-135.65625</v>
      </c>
      <c r="G174" s="36">
        <f t="shared" si="32"/>
        <v>-265.17499999999995</v>
      </c>
      <c r="I174" t="s">
        <v>50</v>
      </c>
    </row>
    <row r="175" spans="2:9" ht="13.5" thickBot="1" x14ac:dyDescent="0.25">
      <c r="B175" s="22" t="s">
        <v>25</v>
      </c>
      <c r="C175" s="328">
        <f>IF('Base Lease Info'!F12='Base Lease Info'!L76,C174*'Base Lease Info'!F8 + D174*'Base Lease Info'!G8 + E174*'Base Lease Info'!H8 + F174*'Base Lease Info'!H8,C174*'Base Lease Info'!F8 + D174*'Base Lease Info'!G8 + G174*'Base Lease Info'!J8)</f>
        <v>-208.16874999999999</v>
      </c>
      <c r="D175" s="329"/>
      <c r="E175" s="329"/>
      <c r="F175" s="329"/>
      <c r="G175" s="330"/>
      <c r="I175" t="s">
        <v>51</v>
      </c>
    </row>
    <row r="176" spans="2:9" ht="13.5" thickTop="1" x14ac:dyDescent="0.2"/>
    <row r="177" spans="2:2" x14ac:dyDescent="0.2">
      <c r="B177" s="1" t="s">
        <v>59</v>
      </c>
    </row>
  </sheetData>
  <mergeCells count="36">
    <mergeCell ref="C50:G50"/>
    <mergeCell ref="B2:G2"/>
    <mergeCell ref="C3:D3"/>
    <mergeCell ref="C4:G4"/>
    <mergeCell ref="C5:G5"/>
    <mergeCell ref="C6:G6"/>
    <mergeCell ref="C13:G13"/>
    <mergeCell ref="C14:G14"/>
    <mergeCell ref="C30:E30"/>
    <mergeCell ref="C43:G43"/>
    <mergeCell ref="B48:G48"/>
    <mergeCell ref="C49:D49"/>
    <mergeCell ref="C102:G102"/>
    <mergeCell ref="C51:G51"/>
    <mergeCell ref="C52:G52"/>
    <mergeCell ref="C56:G56"/>
    <mergeCell ref="C57:G57"/>
    <mergeCell ref="C73:E73"/>
    <mergeCell ref="C86:G86"/>
    <mergeCell ref="B91:G91"/>
    <mergeCell ref="C92:D92"/>
    <mergeCell ref="C93:G93"/>
    <mergeCell ref="C94:G94"/>
    <mergeCell ref="C95:G95"/>
    <mergeCell ref="C175:G175"/>
    <mergeCell ref="C103:G103"/>
    <mergeCell ref="C119:E119"/>
    <mergeCell ref="C132:G132"/>
    <mergeCell ref="B137:G137"/>
    <mergeCell ref="C138:D138"/>
    <mergeCell ref="C139:G139"/>
    <mergeCell ref="C140:G140"/>
    <mergeCell ref="C141:G141"/>
    <mergeCell ref="C145:G145"/>
    <mergeCell ref="C146:G146"/>
    <mergeCell ref="C162:E162"/>
  </mergeCells>
  <pageMargins left="0.75" right="0.75" top="1" bottom="1" header="0.5" footer="0.5"/>
  <pageSetup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Base Lease Info</vt:lpstr>
      <vt:lpstr>Avg</vt:lpstr>
      <vt:lpstr>(+1)</vt:lpstr>
      <vt:lpstr>(+2)</vt:lpstr>
      <vt:lpstr>(+3)</vt:lpstr>
      <vt:lpstr>(-1)</vt:lpstr>
      <vt:lpstr>(-2)</vt:lpstr>
      <vt:lpstr>(-3)</vt:lpstr>
      <vt:lpstr>Add Scenario</vt:lpstr>
      <vt:lpstr>Notes</vt:lpstr>
    </vt:vector>
  </TitlesOfParts>
  <Company>Virginia Tech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 Halich</dc:creator>
  <cp:lastModifiedBy>Greg Halich</cp:lastModifiedBy>
  <cp:lastPrinted>2012-01-11T21:04:16Z</cp:lastPrinted>
  <dcterms:created xsi:type="dcterms:W3CDTF">2003-09-21T12:28:39Z</dcterms:created>
  <dcterms:modified xsi:type="dcterms:W3CDTF">2016-03-01T20:01:09Z</dcterms:modified>
</cp:coreProperties>
</file>