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ordan\Documents\Post Harvest Management\Grain Hauling\"/>
    </mc:Choice>
  </mc:AlternateContent>
  <workbookProtection workbookAlgorithmName="SHA-512" workbookHashValue="UsCa3WqGFZhATp31SC0O9QYqaJRqGlokO3DoX5BVKiDtJVas9K5pstupK9tbJF/1eCYMUn3vSkQNnZ/1QBcDgQ==" workbookSaltValue="sbZw5Hb57MQk7Vp/XpGFOg==" workbookSpinCount="100000" lockStructure="1"/>
  <bookViews>
    <workbookView xWindow="480" yWindow="120" windowWidth="20730" windowHeight="11760" tabRatio="760"/>
  </bookViews>
  <sheets>
    <sheet name="Cover" sheetId="4" r:id="rId1"/>
    <sheet name="Instructions" sheetId="7" r:id="rId2"/>
    <sheet name=" Grain Hauling Decision Tool" sheetId="11" r:id="rId3"/>
    <sheet name="Decision Tool 6 Buyers" sheetId="10" r:id="rId4"/>
    <sheet name="Calculated Discount Schedules" sheetId="8" r:id="rId5"/>
    <sheet name="Sheet1" sheetId="1" state="hidden" r:id="rId6"/>
    <sheet name="Sheet4" sheetId="6" state="hidden" r:id="rId7"/>
    <sheet name="Historical Trucking Costs" sheetId="13" state="hidden" r:id="rId8"/>
  </sheets>
  <definedNames>
    <definedName name="_AMO_UniqueIdentifier" hidden="1">"'03551682-c4ec-453c-85d7-e2f1c69b62a7'"</definedName>
    <definedName name="Discount">Sheet4!$E$4:$E$7</definedName>
    <definedName name="Discount2">Sheet4!$E$4:$E$7</definedName>
    <definedName name="DiscountMethod">Sheet4!$E$5:$E$7</definedName>
    <definedName name="OwnershipCost">'Historical Trucking Costs'!$G$21:$G$24</definedName>
    <definedName name="_xlnm.Print_Area" localSheetId="2">' Grain Hauling Decision Tool'!$B$1:$J$37</definedName>
    <definedName name="_xlnm.Print_Area" localSheetId="0">Cover!$B$1:$M$22</definedName>
    <definedName name="TruckType">#REF!</definedName>
  </definedNames>
  <calcPr calcId="162913"/>
</workbook>
</file>

<file path=xl/calcChain.xml><?xml version="1.0" encoding="utf-8"?>
<calcChain xmlns="http://schemas.openxmlformats.org/spreadsheetml/2006/main">
  <c r="F38" i="10" l="1"/>
  <c r="F39" i="10"/>
  <c r="F40" i="10"/>
  <c r="F41" i="10"/>
  <c r="F42" i="10"/>
  <c r="F37" i="10"/>
  <c r="F30" i="11" l="1"/>
  <c r="F31" i="11"/>
  <c r="F29" i="11"/>
  <c r="B19" i="11" l="1"/>
  <c r="G24" i="11" l="1"/>
  <c r="G25" i="11"/>
  <c r="G12" i="8" l="1"/>
  <c r="G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11" i="8"/>
  <c r="C12" i="8"/>
  <c r="C13" i="8"/>
  <c r="C14" i="8"/>
  <c r="C15" i="8"/>
  <c r="C11" i="8"/>
  <c r="G30" i="11"/>
  <c r="F9" i="8" l="1"/>
  <c r="D9" i="8"/>
  <c r="B9" i="8"/>
  <c r="E20" i="13" l="1"/>
  <c r="E19" i="13"/>
  <c r="E18" i="13"/>
  <c r="E17" i="13"/>
  <c r="E16" i="13"/>
  <c r="H15" i="13" s="1"/>
  <c r="E15" i="13"/>
  <c r="E14" i="13"/>
  <c r="H16" i="13" s="1"/>
  <c r="H17" i="13" l="1"/>
  <c r="C16" i="8" l="1"/>
  <c r="C20" i="8"/>
  <c r="C24" i="8"/>
  <c r="C28" i="8"/>
  <c r="C32" i="8"/>
  <c r="C36" i="8"/>
  <c r="C40" i="8"/>
  <c r="C44" i="8"/>
  <c r="G29" i="11"/>
  <c r="C17" i="8"/>
  <c r="C21" i="8"/>
  <c r="C25" i="8"/>
  <c r="C29" i="8"/>
  <c r="C33" i="8"/>
  <c r="C41" i="8"/>
  <c r="C18" i="8"/>
  <c r="C22" i="8"/>
  <c r="C26" i="8"/>
  <c r="C30" i="8"/>
  <c r="C34" i="8"/>
  <c r="C38" i="8"/>
  <c r="C42" i="8"/>
  <c r="C19" i="8"/>
  <c r="C23" i="8"/>
  <c r="C27" i="8"/>
  <c r="C31" i="8"/>
  <c r="C35" i="8"/>
  <c r="C39" i="8"/>
  <c r="C43" i="8"/>
  <c r="C37" i="8"/>
  <c r="C45" i="8"/>
  <c r="G16" i="8"/>
  <c r="G20" i="8"/>
  <c r="G24" i="8"/>
  <c r="G28" i="8"/>
  <c r="G32" i="8"/>
  <c r="G36" i="8"/>
  <c r="G40" i="8"/>
  <c r="G44" i="8"/>
  <c r="G13" i="8"/>
  <c r="G17" i="8"/>
  <c r="G21" i="8"/>
  <c r="G25" i="8"/>
  <c r="G29" i="8"/>
  <c r="G33" i="8"/>
  <c r="G37" i="8"/>
  <c r="G45" i="8"/>
  <c r="G14" i="8"/>
  <c r="G18" i="8"/>
  <c r="G22" i="8"/>
  <c r="G26" i="8"/>
  <c r="G30" i="8"/>
  <c r="G34" i="8"/>
  <c r="G38" i="8"/>
  <c r="G42" i="8"/>
  <c r="G15" i="8"/>
  <c r="G19" i="8"/>
  <c r="G23" i="8"/>
  <c r="G27" i="8"/>
  <c r="G31" i="8"/>
  <c r="G35" i="8"/>
  <c r="G39" i="8"/>
  <c r="G43" i="8"/>
  <c r="G41" i="8"/>
  <c r="G31" i="11"/>
  <c r="C31" i="11"/>
  <c r="E31" i="11" s="1"/>
  <c r="C30" i="11"/>
  <c r="E30" i="11" s="1"/>
  <c r="C29" i="11"/>
  <c r="E29" i="11" s="1"/>
  <c r="E25" i="11"/>
  <c r="E24" i="11"/>
  <c r="G23" i="11"/>
  <c r="E23" i="11"/>
  <c r="B31" i="11"/>
  <c r="B18" i="11"/>
  <c r="B24" i="11" s="1"/>
  <c r="B17" i="11"/>
  <c r="B23" i="11" s="1"/>
  <c r="D30" i="11" l="1"/>
  <c r="B25" i="11"/>
  <c r="D29" i="11"/>
  <c r="B30" i="11"/>
  <c r="B29" i="11"/>
  <c r="D31" i="11"/>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50"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L48" i="8"/>
  <c r="J48" i="8"/>
  <c r="H48" i="8"/>
  <c r="F48" i="8"/>
  <c r="D48" i="8"/>
  <c r="B48" i="8"/>
  <c r="G42" i="10"/>
  <c r="G41" i="10"/>
  <c r="G40" i="10"/>
  <c r="G38" i="10"/>
  <c r="G39" i="10"/>
  <c r="G37" i="10"/>
  <c r="C40" i="10"/>
  <c r="D40" i="10" s="1"/>
  <c r="C41" i="10"/>
  <c r="D41" i="10" s="1"/>
  <c r="C42" i="10"/>
  <c r="E42" i="10" s="1"/>
  <c r="G30" i="10"/>
  <c r="G31" i="10"/>
  <c r="G32" i="10"/>
  <c r="E30" i="10"/>
  <c r="E31" i="10"/>
  <c r="E32" i="10"/>
  <c r="B21" i="10"/>
  <c r="B40" i="10" s="1"/>
  <c r="B22" i="10"/>
  <c r="B31" i="10" s="1"/>
  <c r="B23" i="10"/>
  <c r="B42" i="10" s="1"/>
  <c r="C39" i="10"/>
  <c r="E39" i="10" s="1"/>
  <c r="C38" i="10"/>
  <c r="D38" i="10" s="1"/>
  <c r="C37" i="10"/>
  <c r="E37" i="10" s="1"/>
  <c r="G29" i="10"/>
  <c r="E29" i="10"/>
  <c r="G28" i="10"/>
  <c r="E28" i="10"/>
  <c r="G27" i="10"/>
  <c r="E27" i="10"/>
  <c r="B20" i="10"/>
  <c r="B39" i="10" s="1"/>
  <c r="B19" i="10"/>
  <c r="B28" i="10" s="1"/>
  <c r="B18" i="10"/>
  <c r="B37" i="10" s="1"/>
  <c r="B41" i="10" l="1"/>
  <c r="B29" i="10"/>
  <c r="B30" i="10"/>
  <c r="H30" i="11"/>
  <c r="H29" i="11"/>
  <c r="E40" i="10"/>
  <c r="H40" i="10" s="1"/>
  <c r="D39" i="10"/>
  <c r="H39" i="10" s="1"/>
  <c r="E41" i="10"/>
  <c r="H41" i="10" s="1"/>
  <c r="E38" i="10"/>
  <c r="H38" i="10" s="1"/>
  <c r="D37" i="10"/>
  <c r="H37" i="10" s="1"/>
  <c r="D42" i="10"/>
  <c r="H42" i="10" s="1"/>
  <c r="B32" i="10"/>
  <c r="B38" i="10"/>
  <c r="B27" i="10"/>
  <c r="H44" i="10" l="1"/>
  <c r="D44" i="10" s="1"/>
  <c r="E24" i="1" l="1"/>
  <c r="E23" i="1"/>
  <c r="E22" i="1"/>
  <c r="D23" i="1" l="1"/>
  <c r="D24" i="1"/>
  <c r="D22" i="1"/>
  <c r="C23" i="1" l="1"/>
  <c r="F23" i="1" s="1"/>
  <c r="C24" i="1"/>
  <c r="F24" i="1" s="1"/>
  <c r="C22" i="1"/>
  <c r="F22" i="1" s="1"/>
  <c r="H31" i="11" l="1"/>
  <c r="H33" i="11" s="1"/>
  <c r="D33" i="11" s="1"/>
</calcChain>
</file>

<file path=xl/sharedStrings.xml><?xml version="1.0" encoding="utf-8"?>
<sst xmlns="http://schemas.openxmlformats.org/spreadsheetml/2006/main" count="202" uniqueCount="137">
  <si>
    <t>Buyer No.</t>
  </si>
  <si>
    <t>Elevator Market Price</t>
  </si>
  <si>
    <t>Buyer No</t>
  </si>
  <si>
    <t>Truck Capacity (bu)</t>
  </si>
  <si>
    <t>Fuel Cost ($/gal)</t>
  </si>
  <si>
    <t>Labor Cost ($/hr)</t>
  </si>
  <si>
    <t>Total Fuel Cost ($/bu)</t>
  </si>
  <si>
    <t>Total Labor Cost ($/bu)</t>
  </si>
  <si>
    <t>Moisture Discount ($/bu)</t>
  </si>
  <si>
    <t>Net Price Received ($/bu)</t>
  </si>
  <si>
    <t>Distance (miles)</t>
  </si>
  <si>
    <t>Wait &amp; Unload Time (min)</t>
  </si>
  <si>
    <t>Discount Method</t>
  </si>
  <si>
    <t>Hauling Inputs</t>
  </si>
  <si>
    <t>Elevator Inputs</t>
  </si>
  <si>
    <t>Discount Inputs</t>
  </si>
  <si>
    <t>Shrink (% wt)</t>
  </si>
  <si>
    <t>Dry ($/bu)</t>
  </si>
  <si>
    <t>Grain Moisture Content</t>
  </si>
  <si>
    <t xml:space="preserve">Base Moisture </t>
  </si>
  <si>
    <t>Method 1: $ Per Bushel</t>
  </si>
  <si>
    <t>Method 2: % of weight/price</t>
  </si>
  <si>
    <t>Method 3: Shrink + Dry</t>
  </si>
  <si>
    <t>Buyer Market Price</t>
  </si>
  <si>
    <t>HAULING INPUTS</t>
  </si>
  <si>
    <t>ESTIMATED COSTS &amp; NET PRICE RECEIVED</t>
  </si>
  <si>
    <t xml:space="preserve">BASED ON THE INPUT PROVIDED </t>
  </si>
  <si>
    <t xml:space="preserve">HAS THE GREATEST NET PRICE RECEIVED OF </t>
  </si>
  <si>
    <t>$ per bushel</t>
  </si>
  <si>
    <t>% of weight/price</t>
  </si>
  <si>
    <t>Shrink + Dry</t>
  </si>
  <si>
    <t>GRAIN HAULING DECISION GUIDE</t>
  </si>
  <si>
    <t>Associate Extension Professor</t>
  </si>
  <si>
    <t>Jordan Shockley</t>
  </si>
  <si>
    <t>Agricultural Economics</t>
  </si>
  <si>
    <t>jordan.shockley@uky.edu</t>
  </si>
  <si>
    <t>270-365-7541 ext. 213</t>
  </si>
  <si>
    <t>859-218-4391</t>
  </si>
  <si>
    <t>Joe Dvorak</t>
  </si>
  <si>
    <t>Assistant Professor</t>
  </si>
  <si>
    <t>Biosystems &amp; Agricultural Engineering</t>
  </si>
  <si>
    <t>joe.dvorak@uky.edu</t>
  </si>
  <si>
    <t>859-257-5658</t>
  </si>
  <si>
    <t>--Select--</t>
  </si>
  <si>
    <t>For more information, contact</t>
  </si>
  <si>
    <t xml:space="preserve">This decision tool has been created to help producers choose what buyer to sell their grain to based on the hauling cost to each location, cash price each buyer is offering  and the moisture discount method each buyer implements.  To navigate through the tool, please click on the tabs below.  Be sure to read the "Instructions" tab for important information about this tool.  </t>
  </si>
  <si>
    <t>BUYER INPUTS</t>
  </si>
  <si>
    <t>MOISTURE DISCOUNT INPUTS</t>
  </si>
  <si>
    <t>Distance One Way (miles)</t>
  </si>
  <si>
    <t>Moisture Level</t>
  </si>
  <si>
    <t>Discount ($/bu)</t>
  </si>
  <si>
    <t>BUYERS NAMES</t>
  </si>
  <si>
    <t>BUYER 1</t>
  </si>
  <si>
    <t>BUYER 2</t>
  </si>
  <si>
    <t>BUYER 3</t>
  </si>
  <si>
    <t>Sam McNeill</t>
  </si>
  <si>
    <t>Truck Speed (mph)</t>
  </si>
  <si>
    <t>Fuel Eff. (mpg)</t>
  </si>
  <si>
    <t>Discount Amount (All discounts are per % point of moisture)</t>
  </si>
  <si>
    <t>Dry Grain (bu)</t>
  </si>
  <si>
    <t>BUYER 4</t>
  </si>
  <si>
    <t>BUYER 5</t>
  </si>
  <si>
    <t>BUYER 6</t>
  </si>
  <si>
    <t>Truck Ownership Cost ($/bu)</t>
  </si>
  <si>
    <t>Cost per Mile</t>
  </si>
  <si>
    <t>Source:</t>
  </si>
  <si>
    <t>R&amp;M</t>
  </si>
  <si>
    <t>Tires</t>
  </si>
  <si>
    <t>Depreciation</t>
  </si>
  <si>
    <t>Notes</t>
  </si>
  <si>
    <t>American Transportation Research Institute (2014)</t>
  </si>
  <si>
    <t>N/A</t>
  </si>
  <si>
    <t>These are for Specialized trucks which include agricultural frieght.  They have data going back to 2008 if needed</t>
  </si>
  <si>
    <t>The Per-mile Costs of Operating Automobiles and Trucks (2003)</t>
  </si>
  <si>
    <t>Depreciation is 18% of total cost for commercial truck</t>
  </si>
  <si>
    <t>Adjusted for Inflation</t>
  </si>
  <si>
    <t>Adjustment using the CPI calculator  from the Bureau of Labor Statistics</t>
  </si>
  <si>
    <t>Historical costs using the ATRI figures in their report and adding in "variable deprecition" determined by Minnesota report above in 2003 and adjusting that for inflation using the CPI Inflation Calculator</t>
  </si>
  <si>
    <t>Total</t>
  </si>
  <si>
    <t>Low</t>
  </si>
  <si>
    <t>High</t>
  </si>
  <si>
    <t>Average</t>
  </si>
  <si>
    <t>Medium</t>
  </si>
  <si>
    <t>--Do Not Consider--</t>
  </si>
  <si>
    <t>Calculated Discount Schedules (3 Buyers)</t>
  </si>
  <si>
    <r>
      <t>1)</t>
    </r>
    <r>
      <rPr>
        <sz val="7"/>
        <color theme="1"/>
        <rFont val="Times New Roman"/>
        <family val="1"/>
      </rPr>
      <t xml:space="preserve">      </t>
    </r>
    <r>
      <rPr>
        <sz val="11"/>
        <color theme="1"/>
        <rFont val="Calibri"/>
        <family val="2"/>
        <scheme val="minor"/>
      </rPr>
      <t>Under the “</t>
    </r>
    <r>
      <rPr>
        <b/>
        <sz val="11"/>
        <color theme="1"/>
        <rFont val="Calibri"/>
        <family val="2"/>
        <scheme val="minor"/>
      </rPr>
      <t>Grain Hauling Decision Tool</t>
    </r>
    <r>
      <rPr>
        <sz val="11"/>
        <color theme="1"/>
        <rFont val="Calibri"/>
        <family val="2"/>
        <scheme val="minor"/>
      </rPr>
      <t xml:space="preserve">” tab, fill in the elements that are colored in </t>
    </r>
    <r>
      <rPr>
        <sz val="11"/>
        <color rgb="FF0066FF"/>
        <rFont val="Calibri"/>
        <family val="2"/>
        <scheme val="minor"/>
      </rPr>
      <t>BLUE</t>
    </r>
    <r>
      <rPr>
        <sz val="11"/>
        <color theme="1"/>
        <rFont val="Calibri"/>
        <family val="2"/>
        <scheme val="minor"/>
      </rPr>
      <t xml:space="preserve"> inside of the four input boxes (Buyers Names, Hauling Inputs, Buyer Inputs and Moisture Discount Inputs).</t>
    </r>
  </si>
  <si>
    <t>Note:  If you have more than 3 potential buyers, use the “Decision Tool 6 Buyers” tab.</t>
  </si>
  <si>
    <r>
      <t>2)</t>
    </r>
    <r>
      <rPr>
        <sz val="7"/>
        <color theme="1"/>
        <rFont val="Times New Roman"/>
        <family val="1"/>
      </rPr>
      <t xml:space="preserve">      </t>
    </r>
    <r>
      <rPr>
        <sz val="11"/>
        <color theme="1"/>
        <rFont val="Calibri"/>
        <family val="2"/>
        <scheme val="minor"/>
      </rPr>
      <t xml:space="preserve">Description of </t>
    </r>
    <r>
      <rPr>
        <b/>
        <sz val="11"/>
        <color theme="1"/>
        <rFont val="Calibri"/>
        <family val="2"/>
        <scheme val="minor"/>
      </rPr>
      <t>Buyers Names</t>
    </r>
    <r>
      <rPr>
        <sz val="11"/>
        <color theme="1"/>
        <rFont val="Calibri"/>
        <family val="2"/>
        <scheme val="minor"/>
      </rPr>
      <t>:</t>
    </r>
  </si>
  <si>
    <r>
      <t>-</t>
    </r>
    <r>
      <rPr>
        <sz val="7"/>
        <color theme="1"/>
        <rFont val="Times New Roman"/>
        <family val="1"/>
      </rPr>
      <t xml:space="preserve">          </t>
    </r>
    <r>
      <rPr>
        <sz val="11"/>
        <color theme="1"/>
        <rFont val="Calibri"/>
        <family val="2"/>
        <scheme val="minor"/>
      </rPr>
      <t>This allows you to enter the name of three potential buyers in your area.  If you have more than three buyers, follow the same directions below but use the tab.</t>
    </r>
  </si>
  <si>
    <r>
      <t>3)</t>
    </r>
    <r>
      <rPr>
        <sz val="7"/>
        <color theme="1"/>
        <rFont val="Times New Roman"/>
        <family val="1"/>
      </rPr>
      <t xml:space="preserve">      </t>
    </r>
    <r>
      <rPr>
        <sz val="11"/>
        <color theme="1"/>
        <rFont val="Calibri"/>
        <family val="2"/>
        <scheme val="minor"/>
      </rPr>
      <t xml:space="preserve">Description of </t>
    </r>
    <r>
      <rPr>
        <b/>
        <sz val="11"/>
        <color theme="1"/>
        <rFont val="Calibri"/>
        <family val="2"/>
        <scheme val="minor"/>
      </rPr>
      <t>Hauling Inputs</t>
    </r>
    <r>
      <rPr>
        <sz val="11"/>
        <color theme="1"/>
        <rFont val="Calibri"/>
        <family val="2"/>
        <scheme val="minor"/>
      </rPr>
      <t>:</t>
    </r>
  </si>
  <si>
    <r>
      <t>-</t>
    </r>
    <r>
      <rPr>
        <sz val="7"/>
        <color theme="1"/>
        <rFont val="Times New Roman"/>
        <family val="1"/>
      </rPr>
      <t xml:space="preserve">          </t>
    </r>
    <r>
      <rPr>
        <sz val="11"/>
        <color theme="1"/>
        <rFont val="Calibri"/>
        <family val="2"/>
        <scheme val="minor"/>
      </rPr>
      <t>Labor cost is the price per hour to haul a load of grain (i.e. driver’s wage).</t>
    </r>
  </si>
  <si>
    <r>
      <t>-</t>
    </r>
    <r>
      <rPr>
        <sz val="7"/>
        <color theme="1"/>
        <rFont val="Times New Roman"/>
        <family val="1"/>
      </rPr>
      <t xml:space="preserve">          </t>
    </r>
    <r>
      <rPr>
        <sz val="11"/>
        <color theme="1"/>
        <rFont val="Calibri"/>
        <family val="2"/>
        <scheme val="minor"/>
      </rPr>
      <t>Fuel cost is the price per gallon of diesel used in hauling grain.</t>
    </r>
  </si>
  <si>
    <r>
      <t>-</t>
    </r>
    <r>
      <rPr>
        <sz val="7"/>
        <color theme="1"/>
        <rFont val="Times New Roman"/>
        <family val="1"/>
      </rPr>
      <t xml:space="preserve">          </t>
    </r>
    <r>
      <rPr>
        <sz val="11"/>
        <color theme="1"/>
        <rFont val="Calibri"/>
        <family val="2"/>
        <scheme val="minor"/>
      </rPr>
      <t>Fuel efficiency is the miles per gallon consumed by the haul truck.</t>
    </r>
  </si>
  <si>
    <r>
      <t>-</t>
    </r>
    <r>
      <rPr>
        <sz val="7"/>
        <color theme="1"/>
        <rFont val="Times New Roman"/>
        <family val="1"/>
      </rPr>
      <t xml:space="preserve">          </t>
    </r>
    <r>
      <rPr>
        <sz val="11"/>
        <color theme="1"/>
        <rFont val="Calibri"/>
        <family val="2"/>
        <scheme val="minor"/>
      </rPr>
      <t>Truck speed is the average miles per hour when hauling grain.</t>
    </r>
  </si>
  <si>
    <r>
      <t>-</t>
    </r>
    <r>
      <rPr>
        <sz val="7"/>
        <color theme="1"/>
        <rFont val="Times New Roman"/>
        <family val="1"/>
      </rPr>
      <t xml:space="preserve">          </t>
    </r>
    <r>
      <rPr>
        <sz val="11"/>
        <color theme="1"/>
        <rFont val="Calibri"/>
        <family val="2"/>
        <scheme val="minor"/>
      </rPr>
      <t>Truck capacity is the total number of bushels you can haul per load.</t>
    </r>
  </si>
  <si>
    <r>
      <t>-</t>
    </r>
    <r>
      <rPr>
        <sz val="7"/>
        <color theme="1"/>
        <rFont val="Times New Roman"/>
        <family val="1"/>
      </rPr>
      <t xml:space="preserve">          </t>
    </r>
    <r>
      <rPr>
        <sz val="11"/>
        <color theme="1"/>
        <rFont val="Calibri"/>
        <family val="2"/>
        <scheme val="minor"/>
      </rPr>
      <t>Grain moisture content is the average grain moisture of the load being hauled.</t>
    </r>
  </si>
  <si>
    <r>
      <t>4)</t>
    </r>
    <r>
      <rPr>
        <sz val="7"/>
        <color theme="1"/>
        <rFont val="Times New Roman"/>
        <family val="1"/>
      </rPr>
      <t xml:space="preserve">      </t>
    </r>
    <r>
      <rPr>
        <sz val="11"/>
        <color theme="1"/>
        <rFont val="Calibri"/>
        <family val="2"/>
        <scheme val="minor"/>
      </rPr>
      <t xml:space="preserve">Description of </t>
    </r>
    <r>
      <rPr>
        <b/>
        <sz val="11"/>
        <color theme="1"/>
        <rFont val="Calibri"/>
        <family val="2"/>
        <scheme val="minor"/>
      </rPr>
      <t>Buyer Inputs</t>
    </r>
    <r>
      <rPr>
        <sz val="11"/>
        <color theme="1"/>
        <rFont val="Calibri"/>
        <family val="2"/>
        <scheme val="minor"/>
      </rPr>
      <t>:</t>
    </r>
  </si>
  <si>
    <r>
      <t>-</t>
    </r>
    <r>
      <rPr>
        <sz val="7"/>
        <color theme="1"/>
        <rFont val="Times New Roman"/>
        <family val="1"/>
      </rPr>
      <t xml:space="preserve">          </t>
    </r>
    <r>
      <rPr>
        <sz val="11"/>
        <color theme="1"/>
        <rFont val="Calibri"/>
        <family val="2"/>
        <scheme val="minor"/>
      </rPr>
      <t>For each buyer, provide the ONE WAY distance in miles to haul the grain, the estimated total time waiting and unloading the grain, the futures price each buyer is using and their basis (if negative, please use the minus sign in front of the number).</t>
    </r>
  </si>
  <si>
    <r>
      <t>-</t>
    </r>
    <r>
      <rPr>
        <sz val="7"/>
        <color theme="1"/>
        <rFont val="Times New Roman"/>
        <family val="1"/>
      </rPr>
      <t xml:space="preserve">          </t>
    </r>
    <r>
      <rPr>
        <sz val="11"/>
        <color theme="1"/>
        <rFont val="Calibri"/>
        <family val="2"/>
        <scheme val="minor"/>
      </rPr>
      <t>Buyer Market Price is the futures price + or - the basis.</t>
    </r>
  </si>
  <si>
    <r>
      <t>5)</t>
    </r>
    <r>
      <rPr>
        <sz val="7"/>
        <color theme="1"/>
        <rFont val="Times New Roman"/>
        <family val="1"/>
      </rPr>
      <t xml:space="preserve">      </t>
    </r>
    <r>
      <rPr>
        <sz val="11"/>
        <color theme="1"/>
        <rFont val="Calibri"/>
        <family val="2"/>
        <scheme val="minor"/>
      </rPr>
      <t xml:space="preserve">Description of </t>
    </r>
    <r>
      <rPr>
        <b/>
        <sz val="11"/>
        <color theme="1"/>
        <rFont val="Calibri"/>
        <family val="2"/>
        <scheme val="minor"/>
      </rPr>
      <t>Moisture Discount Inputs</t>
    </r>
    <r>
      <rPr>
        <sz val="11"/>
        <color theme="1"/>
        <rFont val="Calibri"/>
        <family val="2"/>
        <scheme val="minor"/>
      </rPr>
      <t>:</t>
    </r>
  </si>
  <si>
    <r>
      <t>-</t>
    </r>
    <r>
      <rPr>
        <sz val="7"/>
        <color theme="1"/>
        <rFont val="Times New Roman"/>
        <family val="1"/>
      </rPr>
      <t xml:space="preserve">          </t>
    </r>
    <r>
      <rPr>
        <sz val="11"/>
        <color theme="1"/>
        <rFont val="Calibri"/>
        <family val="2"/>
        <scheme val="minor"/>
      </rPr>
      <t>There are three moisture discount methods commonly used by buyers in Kentucky (see below).  For each buyer, input their base moisture content and choose their discount method from the drop down list.  Then enter the appropriate discount amount.</t>
    </r>
  </si>
  <si>
    <r>
      <t>-</t>
    </r>
    <r>
      <rPr>
        <sz val="7"/>
        <color theme="1"/>
        <rFont val="Times New Roman"/>
        <family val="1"/>
      </rPr>
      <t xml:space="preserve">          </t>
    </r>
    <r>
      <rPr>
        <sz val="11"/>
        <color theme="1"/>
        <rFont val="Calibri"/>
        <family val="2"/>
        <scheme val="minor"/>
      </rPr>
      <t>When to use each method and how to enter the discount values:</t>
    </r>
  </si>
  <si>
    <r>
      <t>o</t>
    </r>
    <r>
      <rPr>
        <sz val="7"/>
        <color theme="1"/>
        <rFont val="Times New Roman"/>
        <family val="1"/>
      </rPr>
      <t xml:space="preserve">   </t>
    </r>
    <r>
      <rPr>
        <b/>
        <sz val="11"/>
        <color theme="1"/>
        <rFont val="Calibri"/>
        <family val="2"/>
        <scheme val="minor"/>
      </rPr>
      <t>$ per bushel</t>
    </r>
    <r>
      <rPr>
        <sz val="11"/>
        <color theme="1"/>
        <rFont val="Calibri"/>
        <family val="2"/>
        <scheme val="minor"/>
      </rPr>
      <t xml:space="preserve"> (per percentage point of moisture over base)</t>
    </r>
  </si>
  <si>
    <r>
      <t>Ex: Discount schedule might say “</t>
    </r>
    <r>
      <rPr>
        <i/>
        <sz val="11"/>
        <color theme="1"/>
        <rFont val="Calibri"/>
        <family val="2"/>
        <scheme val="minor"/>
      </rPr>
      <t>5¢ per bushel for each ½% over 15% moisture</t>
    </r>
    <r>
      <rPr>
        <sz val="11"/>
        <color theme="1"/>
        <rFont val="Calibri"/>
        <family val="2"/>
        <scheme val="minor"/>
      </rPr>
      <t>”.</t>
    </r>
  </si>
  <si>
    <t>You would enter 15% in for Base Moisture and $0.10 for the discount amount since the discount is 10¢ per point over the base.</t>
  </si>
  <si>
    <r>
      <t>o</t>
    </r>
    <r>
      <rPr>
        <sz val="7"/>
        <color theme="1"/>
        <rFont val="Times New Roman"/>
        <family val="1"/>
      </rPr>
      <t xml:space="preserve">   </t>
    </r>
    <r>
      <rPr>
        <b/>
        <sz val="11"/>
        <color theme="1"/>
        <rFont val="Calibri"/>
        <family val="2"/>
        <scheme val="minor"/>
      </rPr>
      <t>% of weight/price</t>
    </r>
    <r>
      <rPr>
        <sz val="11"/>
        <color theme="1"/>
        <rFont val="Calibri"/>
        <family val="2"/>
        <scheme val="minor"/>
      </rPr>
      <t xml:space="preserve"> (per percentage point of moisture over base)</t>
    </r>
  </si>
  <si>
    <r>
      <t>Ex: Discount schedule might say “</t>
    </r>
    <r>
      <rPr>
        <i/>
        <sz val="11"/>
        <color theme="1"/>
        <rFont val="Calibri"/>
        <family val="2"/>
        <scheme val="minor"/>
      </rPr>
      <t>Shrink to 15% at 2.0% per point</t>
    </r>
    <r>
      <rPr>
        <sz val="11"/>
        <color theme="1"/>
        <rFont val="Calibri"/>
        <family val="2"/>
        <scheme val="minor"/>
      </rPr>
      <t>”.</t>
    </r>
  </si>
  <si>
    <t>You would enter 15% in for Base Moisture and 2.0% for the discount amount.</t>
  </si>
  <si>
    <r>
      <t>o</t>
    </r>
    <r>
      <rPr>
        <sz val="7"/>
        <color theme="1"/>
        <rFont val="Times New Roman"/>
        <family val="1"/>
      </rPr>
      <t xml:space="preserve">   </t>
    </r>
    <r>
      <rPr>
        <b/>
        <sz val="11"/>
        <color theme="1"/>
        <rFont val="Calibri"/>
        <family val="2"/>
        <scheme val="minor"/>
      </rPr>
      <t>Shrink + Dry</t>
    </r>
    <r>
      <rPr>
        <sz val="11"/>
        <color theme="1"/>
        <rFont val="Calibri"/>
        <family val="2"/>
        <scheme val="minor"/>
      </rPr>
      <t xml:space="preserve"> (per percentage point of moisture over base):</t>
    </r>
  </si>
  <si>
    <r>
      <t>Ex: Discount schedule might say “</t>
    </r>
    <r>
      <rPr>
        <i/>
        <sz val="11"/>
        <color theme="1"/>
        <rFont val="Calibri"/>
        <family val="2"/>
        <scheme val="minor"/>
      </rPr>
      <t>Shrink to 15% at 1.15% per point with drying charge of 2.5¢/bushel for each point about 15%</t>
    </r>
    <r>
      <rPr>
        <sz val="11"/>
        <color theme="1"/>
        <rFont val="Calibri"/>
        <family val="2"/>
        <scheme val="minor"/>
      </rPr>
      <t>.”</t>
    </r>
  </si>
  <si>
    <t>You would enter 15% in for Base Moisture, 1.15% for the shrink discount amount and $0.025 for the drying discount amount.</t>
  </si>
  <si>
    <r>
      <t>6)</t>
    </r>
    <r>
      <rPr>
        <sz val="7"/>
        <color theme="1"/>
        <rFont val="Times New Roman"/>
        <family val="1"/>
      </rPr>
      <t xml:space="preserve">      </t>
    </r>
    <r>
      <rPr>
        <sz val="11"/>
        <color theme="1"/>
        <rFont val="Calibri"/>
        <family val="2"/>
        <scheme val="minor"/>
      </rPr>
      <t>Results of the Decision Tool:</t>
    </r>
  </si>
  <si>
    <r>
      <t>-</t>
    </r>
    <r>
      <rPr>
        <sz val="7"/>
        <color theme="1"/>
        <rFont val="Times New Roman"/>
        <family val="1"/>
      </rPr>
      <t xml:space="preserve">          </t>
    </r>
    <r>
      <rPr>
        <sz val="11"/>
        <color theme="1"/>
        <rFont val="Calibri"/>
        <family val="2"/>
        <scheme val="minor"/>
      </rPr>
      <t>Given the inputs outlined above, the results for the decision tool are presented in the “Estimated Costs &amp; Net Price Received” box.</t>
    </r>
  </si>
  <si>
    <r>
      <t>-</t>
    </r>
    <r>
      <rPr>
        <sz val="7"/>
        <color theme="1"/>
        <rFont val="Times New Roman"/>
        <family val="1"/>
      </rPr>
      <t xml:space="preserve">          </t>
    </r>
    <r>
      <rPr>
        <sz val="11"/>
        <color theme="1"/>
        <rFont val="Calibri"/>
        <family val="2"/>
        <scheme val="minor"/>
      </rPr>
      <t xml:space="preserve">The tool estimates the bushels of </t>
    </r>
    <r>
      <rPr>
        <u/>
        <sz val="11"/>
        <color theme="1"/>
        <rFont val="Calibri"/>
        <family val="2"/>
        <scheme val="minor"/>
      </rPr>
      <t>dry</t>
    </r>
    <r>
      <rPr>
        <sz val="11"/>
        <color theme="1"/>
        <rFont val="Calibri"/>
        <family val="2"/>
        <scheme val="minor"/>
      </rPr>
      <t xml:space="preserve"> grain being hauled to each buyer.  This is based on the current moisture content of the grain in the truck and the base moisture required by each buyer.</t>
    </r>
  </si>
  <si>
    <r>
      <t>-</t>
    </r>
    <r>
      <rPr>
        <sz val="7"/>
        <color theme="1"/>
        <rFont val="Times New Roman"/>
        <family val="1"/>
      </rPr>
      <t xml:space="preserve">          </t>
    </r>
    <r>
      <rPr>
        <sz val="11"/>
        <color theme="1"/>
        <rFont val="Calibri"/>
        <family val="2"/>
        <scheme val="minor"/>
      </rPr>
      <t>Total fuel costs, labor cost, ownership cost (if included) and moisture discount are calculated and subtracted from the Buyer Market Price (calculated in the Buyer Inputs) to determine the Net Price Received ($/bu) for each buyer.</t>
    </r>
  </si>
  <si>
    <r>
      <t>-</t>
    </r>
    <r>
      <rPr>
        <sz val="7"/>
        <color theme="1"/>
        <rFont val="Times New Roman"/>
        <family val="1"/>
      </rPr>
      <t xml:space="preserve">          </t>
    </r>
    <r>
      <rPr>
        <sz val="11"/>
        <color theme="1"/>
        <rFont val="Calibri"/>
        <family val="2"/>
        <scheme val="minor"/>
      </rPr>
      <t>The buyer with the greatest Net Price Received is also presented.</t>
    </r>
  </si>
  <si>
    <r>
      <t>7)</t>
    </r>
    <r>
      <rPr>
        <sz val="7"/>
        <color theme="1"/>
        <rFont val="Times New Roman"/>
        <family val="1"/>
      </rPr>
      <t xml:space="preserve">      </t>
    </r>
    <r>
      <rPr>
        <b/>
        <sz val="11"/>
        <color theme="1"/>
        <rFont val="Calibri"/>
        <family val="2"/>
        <scheme val="minor"/>
      </rPr>
      <t>Calculated Discount Schedules</t>
    </r>
  </si>
  <si>
    <r>
      <t>-</t>
    </r>
    <r>
      <rPr>
        <sz val="7"/>
        <color theme="1"/>
        <rFont val="Times New Roman"/>
        <family val="1"/>
      </rPr>
      <t xml:space="preserve">          </t>
    </r>
    <r>
      <rPr>
        <sz val="11"/>
        <color theme="1"/>
        <rFont val="Calibri"/>
        <family val="2"/>
        <scheme val="minor"/>
      </rPr>
      <t xml:space="preserve">The “Calculated Discount Schedules” uses the information provided above for each buyer to determine the ($/bu) discount amount for a range of moisture levels for the grain being hauled.  You can use these to check the discounts if the buyer provides the discount as a list based on moisture level.   </t>
    </r>
  </si>
  <si>
    <r>
      <t>-</t>
    </r>
    <r>
      <rPr>
        <sz val="7"/>
        <color theme="1"/>
        <rFont val="Times New Roman"/>
        <family val="1"/>
      </rPr>
      <t xml:space="preserve">          </t>
    </r>
    <r>
      <rPr>
        <sz val="11"/>
        <color theme="1"/>
        <rFont val="Calibri"/>
        <family val="2"/>
        <scheme val="minor"/>
      </rPr>
      <t xml:space="preserve">Please see “Calculated Discount Schedules (3 Buyers) if you used the “Grain Hauling Decision Tool” tab to enter your information.  Please see “Calculated Discount Schedules (6 Buyers)” if you used the “Decision Tool 6 Buyers” tab to enter your information.  </t>
    </r>
  </si>
  <si>
    <t>Note: Table for 6 Buyers is below the table for 3 Buyers</t>
  </si>
  <si>
    <t xml:space="preserve">     </t>
  </si>
  <si>
    <t>Calculated Discount Schedules (6 Buyers)</t>
  </si>
  <si>
    <t>Buyer 1</t>
  </si>
  <si>
    <t>Buyer 2</t>
  </si>
  <si>
    <t>Buyer 3</t>
  </si>
  <si>
    <t>You can use these to check discounts if the elevator provides the discount as a list for each moisture level.</t>
  </si>
  <si>
    <t xml:space="preserve">The discounts below were based on the values provided in the Grain Hauling Decision Tool Sheet. </t>
  </si>
  <si>
    <t>sam.mcneill@uky.edu</t>
  </si>
  <si>
    <t xml:space="preserve">Grain Moisture </t>
  </si>
  <si>
    <t>GRAIN HAULING DECISION TOOL SUMMARY PAGE</t>
  </si>
  <si>
    <t>Ownership Cost ($/mile)</t>
  </si>
  <si>
    <t>Grain Moisture</t>
  </si>
  <si>
    <r>
      <t>-</t>
    </r>
    <r>
      <rPr>
        <sz val="7"/>
        <color theme="1"/>
        <rFont val="Times New Roman"/>
        <family val="1"/>
      </rPr>
      <t xml:space="preserve">          </t>
    </r>
    <r>
      <rPr>
        <sz val="11"/>
        <color theme="1"/>
        <rFont val="Calibri"/>
        <family val="2"/>
        <scheme val="minor"/>
      </rPr>
      <t xml:space="preserve">Ownership cost is an </t>
    </r>
    <r>
      <rPr>
        <u/>
        <sz val="11"/>
        <color theme="1"/>
        <rFont val="Calibri"/>
        <family val="2"/>
        <scheme val="minor"/>
      </rPr>
      <t>estimated</t>
    </r>
    <r>
      <rPr>
        <sz val="11"/>
        <color theme="1"/>
        <rFont val="Calibri"/>
        <family val="2"/>
        <scheme val="minor"/>
      </rPr>
      <t xml:space="preserve"> cost for owning your haul truck.  This cost includes repair and maintenance, tires and depreciation of your haul truck.   If you know the ownership cost of your haul truck, enter it into the cell.  If you do not know the ownership cost, a guide is provided based on the  low, medium, and high $ per mile cost reported by the American Transportation Research Institute from 2008-2014 for hauling agricultural products.</t>
    </r>
  </si>
  <si>
    <t>Other Operating Costs ($/mile)</t>
  </si>
  <si>
    <t>Other Operating Costs ($/bu)</t>
  </si>
  <si>
    <t>Assistant Extension Professor</t>
  </si>
  <si>
    <t>Publication No. AEC 2016-11                           Last Updated: 7/05/2016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</si>
</sst>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_);\(&quot;$&quot;#,##0.00\)"/>
    <numFmt numFmtId="44" formatCode="_(&quot;$&quot;* #,##0.00_);_(&quot;$&quot;* \(#,##0.00\);_(&quot;$&quot;* &quot;-&quot;??_);_(@_)"/>
    <numFmt numFmtId="164" formatCode="&quot;$&quot;#,##0.00"/>
    <numFmt numFmtId="165" formatCode="&quot;$&quot;#,##0.000"/>
    <numFmt numFmtId="166" formatCode="0.0%"/>
    <numFmt numFmtId="167" formatCode="&quot;$&quot;#,##0.000_);\(&quot;$&quot;#,##0.000\)"/>
    <numFmt numFmtId="168" formatCode="0.000000"/>
    <numFmt numFmtId="169" formatCode="_(&quot;$&quot;* #,##0.000_);_(&quot;$&quot;* \(#,##0.000\);_(&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1"/>
      <color rgb="FF0066FF"/>
      <name val="Calibri"/>
      <family val="2"/>
      <scheme val="minor"/>
    </font>
    <font>
      <b/>
      <sz val="12"/>
      <color theme="1"/>
      <name val="Calibri"/>
      <family val="2"/>
      <scheme val="minor"/>
    </font>
    <font>
      <b/>
      <sz val="12"/>
      <color rgb="FF00B050"/>
      <name val="Calibri"/>
      <family val="2"/>
      <scheme val="minor"/>
    </font>
    <font>
      <u/>
      <sz val="11"/>
      <color theme="10"/>
      <name val="Calibri"/>
      <family val="2"/>
      <scheme val="minor"/>
    </font>
    <font>
      <b/>
      <sz val="16"/>
      <color theme="1"/>
      <name val="Calibri"/>
      <family val="2"/>
      <scheme val="minor"/>
    </font>
    <font>
      <sz val="12"/>
      <color theme="1"/>
      <name val="Calibri"/>
      <family val="2"/>
      <scheme val="minor"/>
    </font>
    <font>
      <u/>
      <sz val="12"/>
      <color theme="10"/>
      <name val="Calibri"/>
      <family val="2"/>
      <scheme val="minor"/>
    </font>
    <font>
      <b/>
      <sz val="15"/>
      <color theme="3"/>
      <name val="Calibri"/>
      <family val="2"/>
      <scheme val="minor"/>
    </font>
    <font>
      <b/>
      <sz val="11"/>
      <color theme="3"/>
      <name val="Calibri"/>
      <family val="2"/>
      <scheme val="minor"/>
    </font>
    <font>
      <b/>
      <sz val="11"/>
      <name val="Calibri"/>
      <family val="2"/>
      <scheme val="minor"/>
    </font>
    <font>
      <sz val="11"/>
      <name val="Calibri"/>
      <family val="2"/>
      <scheme val="minor"/>
    </font>
    <font>
      <u/>
      <sz val="11"/>
      <color theme="1"/>
      <name val="Calibri"/>
      <family val="2"/>
      <scheme val="minor"/>
    </font>
    <font>
      <sz val="7"/>
      <color theme="1"/>
      <name val="Times New Roman"/>
      <family val="1"/>
    </font>
    <font>
      <sz val="11"/>
      <color rgb="FF0066FF"/>
      <name val="Calibri"/>
      <family val="2"/>
      <scheme val="minor"/>
    </font>
    <font>
      <b/>
      <sz val="11"/>
      <color rgb="FFFF0000"/>
      <name val="Calibri"/>
      <family val="2"/>
      <scheme val="minor"/>
    </font>
    <font>
      <sz val="11"/>
      <color theme="1"/>
      <name val="Courier New"/>
      <family val="3"/>
    </font>
    <font>
      <i/>
      <sz val="11"/>
      <color theme="1"/>
      <name val="Calibri"/>
      <family val="2"/>
      <scheme val="minor"/>
    </font>
    <font>
      <b/>
      <sz val="11"/>
      <color rgb="FF0000FF"/>
      <name val="Calibri"/>
      <family val="2"/>
      <scheme val="minor"/>
    </font>
    <font>
      <sz val="1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ck">
        <color theme="4"/>
      </bottom>
      <diagonal/>
    </border>
    <border>
      <left style="thin">
        <color indexed="64"/>
      </left>
      <right style="thin">
        <color indexed="64"/>
      </right>
      <top style="medium">
        <color indexed="64"/>
      </top>
      <bottom style="thick">
        <color theme="4"/>
      </bottom>
      <diagonal/>
    </border>
    <border>
      <left style="thin">
        <color indexed="64"/>
      </left>
      <right style="medium">
        <color indexed="64"/>
      </right>
      <top style="medium">
        <color indexed="64"/>
      </top>
      <bottom style="thick">
        <color theme="4"/>
      </bottom>
      <diagonal/>
    </border>
    <border>
      <left style="medium">
        <color indexed="64"/>
      </left>
      <right style="thin">
        <color indexed="64"/>
      </right>
      <top/>
      <bottom style="thick">
        <color theme="4"/>
      </bottom>
      <diagonal/>
    </border>
    <border>
      <left style="thin">
        <color indexed="64"/>
      </left>
      <right style="thin">
        <color indexed="64"/>
      </right>
      <top/>
      <bottom style="thick">
        <color theme="4"/>
      </bottom>
      <diagonal/>
    </border>
    <border>
      <left style="thin">
        <color indexed="64"/>
      </left>
      <right style="medium">
        <color indexed="64"/>
      </right>
      <top/>
      <bottom style="thick">
        <color theme="4"/>
      </bottom>
      <diagonal/>
    </border>
    <border>
      <left style="medium">
        <color indexed="64"/>
      </left>
      <right style="thin">
        <color indexed="64"/>
      </right>
      <top/>
      <bottom style="medium">
        <color theme="4" tint="0.39997558519241921"/>
      </bottom>
      <diagonal/>
    </border>
    <border>
      <left style="thin">
        <color indexed="64"/>
      </left>
      <right style="thin">
        <color indexed="64"/>
      </right>
      <top/>
      <bottom style="medium">
        <color theme="4" tint="0.39997558519241921"/>
      </bottom>
      <diagonal/>
    </border>
    <border>
      <left style="thin">
        <color indexed="64"/>
      </left>
      <right style="medium">
        <color indexed="64"/>
      </right>
      <top/>
      <bottom style="medium">
        <color theme="4" tint="0.39997558519241921"/>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ck">
        <color theme="4"/>
      </top>
      <bottom style="thick">
        <color theme="4"/>
      </bottom>
      <diagonal/>
    </border>
    <border>
      <left style="thin">
        <color indexed="64"/>
      </left>
      <right style="thin">
        <color indexed="64"/>
      </right>
      <top style="thick">
        <color theme="4"/>
      </top>
      <bottom style="thick">
        <color theme="4"/>
      </bottom>
      <diagonal/>
    </border>
    <border>
      <left style="thin">
        <color indexed="64"/>
      </left>
      <right style="medium">
        <color indexed="64"/>
      </right>
      <top style="thick">
        <color theme="4"/>
      </top>
      <bottom style="thick">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7" fillId="0" borderId="0" applyNumberFormat="0" applyFill="0" applyBorder="0" applyAlignment="0" applyProtection="0"/>
    <xf numFmtId="0" fontId="11" fillId="0" borderId="6" applyNumberFormat="0" applyFill="0" applyAlignment="0" applyProtection="0"/>
    <xf numFmtId="0" fontId="12" fillId="0" borderId="7" applyNumberFormat="0" applyFill="0" applyAlignment="0" applyProtection="0"/>
    <xf numFmtId="0" fontId="1" fillId="4" borderId="0" applyNumberFormat="0" applyBorder="0" applyAlignment="0" applyProtection="0"/>
  </cellStyleXfs>
  <cellXfs count="168">
    <xf numFmtId="0" fontId="0" fillId="0" borderId="0" xfId="0"/>
    <xf numFmtId="164" fontId="0" fillId="0" borderId="0" xfId="0" applyNumberFormat="1"/>
    <xf numFmtId="0" fontId="0" fillId="0" borderId="0" xfId="0" applyAlignment="1">
      <alignment horizontal="left" indent="2"/>
    </xf>
    <xf numFmtId="0" fontId="0" fillId="0" borderId="0" xfId="0" applyAlignment="1">
      <alignment wrapText="1"/>
    </xf>
    <xf numFmtId="165" fontId="0" fillId="0" borderId="0" xfId="0" applyNumberFormat="1"/>
    <xf numFmtId="0" fontId="2" fillId="0" borderId="0" xfId="0" applyFont="1"/>
    <xf numFmtId="0" fontId="0" fillId="0" borderId="0" xfId="0" applyAlignment="1">
      <alignment horizontal="right"/>
    </xf>
    <xf numFmtId="0" fontId="0" fillId="0" borderId="0" xfId="0" applyFont="1"/>
    <xf numFmtId="164" fontId="4" fillId="0" borderId="0" xfId="0" applyNumberFormat="1" applyFont="1"/>
    <xf numFmtId="0" fontId="4" fillId="0" borderId="0" xfId="0" applyFont="1"/>
    <xf numFmtId="166" fontId="4" fillId="0" borderId="0" xfId="0" applyNumberFormat="1" applyFont="1"/>
    <xf numFmtId="167" fontId="4" fillId="0" borderId="0" xfId="1" applyNumberFormat="1" applyFont="1"/>
    <xf numFmtId="10" fontId="4" fillId="0" borderId="0" xfId="2" applyNumberFormat="1" applyFont="1"/>
    <xf numFmtId="10" fontId="4" fillId="0" borderId="0" xfId="0" applyNumberFormat="1" applyFont="1"/>
    <xf numFmtId="165" fontId="4" fillId="0" borderId="0" xfId="0" applyNumberFormat="1" applyFont="1"/>
    <xf numFmtId="7" fontId="4" fillId="0" borderId="0" xfId="1" applyNumberFormat="1" applyFont="1"/>
    <xf numFmtId="164" fontId="2" fillId="0" borderId="0" xfId="0" applyNumberFormat="1" applyFont="1"/>
    <xf numFmtId="166" fontId="4" fillId="0" borderId="0" xfId="1" applyNumberFormat="1" applyFont="1"/>
    <xf numFmtId="0" fontId="0" fillId="2" borderId="0" xfId="0" applyFill="1"/>
    <xf numFmtId="0" fontId="0" fillId="2" borderId="0" xfId="0" applyFill="1" applyAlignment="1">
      <alignment horizontal="right"/>
    </xf>
    <xf numFmtId="165" fontId="4" fillId="2" borderId="0" xfId="0" applyNumberFormat="1" applyFont="1" applyFill="1"/>
    <xf numFmtId="165" fontId="0" fillId="2" borderId="0" xfId="0" applyNumberFormat="1" applyFill="1"/>
    <xf numFmtId="164" fontId="0" fillId="2" borderId="0" xfId="0" applyNumberFormat="1" applyFill="1"/>
    <xf numFmtId="0" fontId="0" fillId="2" borderId="0" xfId="0" applyFill="1" applyAlignment="1">
      <alignment horizontal="left" indent="2"/>
    </xf>
    <xf numFmtId="0" fontId="0" fillId="2" borderId="1" xfId="0" applyFill="1" applyBorder="1"/>
    <xf numFmtId="0" fontId="0" fillId="2" borderId="1" xfId="0" applyFill="1" applyBorder="1" applyAlignment="1">
      <alignment horizontal="center"/>
    </xf>
    <xf numFmtId="0" fontId="4" fillId="2" borderId="1" xfId="0" applyFont="1" applyFill="1" applyBorder="1" applyAlignment="1">
      <alignment horizontal="center"/>
    </xf>
    <xf numFmtId="0" fontId="0" fillId="2" borderId="1" xfId="0" applyFill="1" applyBorder="1" applyAlignment="1">
      <alignment horizontal="center" wrapText="1"/>
    </xf>
    <xf numFmtId="0" fontId="0" fillId="2" borderId="1" xfId="0" applyFont="1" applyFill="1" applyBorder="1" applyAlignment="1">
      <alignment horizontal="center"/>
    </xf>
    <xf numFmtId="0" fontId="0" fillId="2" borderId="1" xfId="0" applyFont="1" applyFill="1" applyBorder="1" applyAlignment="1">
      <alignment horizontal="center" wrapText="1"/>
    </xf>
    <xf numFmtId="165" fontId="0" fillId="2" borderId="1" xfId="0" applyNumberFormat="1" applyFont="1" applyFill="1" applyBorder="1" applyAlignment="1">
      <alignment horizontal="center"/>
    </xf>
    <xf numFmtId="0" fontId="0" fillId="3" borderId="0" xfId="0" applyFill="1"/>
    <xf numFmtId="0" fontId="5" fillId="3" borderId="0" xfId="0" applyFont="1" applyFill="1"/>
    <xf numFmtId="0" fontId="0" fillId="2" borderId="1" xfId="0" applyNumberFormat="1" applyFill="1" applyBorder="1" applyAlignment="1">
      <alignment horizontal="center"/>
    </xf>
    <xf numFmtId="0" fontId="6" fillId="3" borderId="0" xfId="0" applyFont="1" applyFill="1" applyAlignment="1">
      <alignment horizontal="center"/>
    </xf>
    <xf numFmtId="0" fontId="6" fillId="0" borderId="1" xfId="0" applyFont="1" applyFill="1" applyBorder="1" applyAlignment="1">
      <alignment horizontal="center" wrapText="1"/>
    </xf>
    <xf numFmtId="49" fontId="0" fillId="0" borderId="0" xfId="0" applyNumberFormat="1"/>
    <xf numFmtId="49" fontId="0" fillId="0" borderId="0" xfId="0" applyNumberFormat="1" applyAlignment="1">
      <alignment horizontal="center"/>
    </xf>
    <xf numFmtId="0" fontId="9" fillId="2" borderId="0" xfId="0" applyFont="1" applyFill="1"/>
    <xf numFmtId="0" fontId="10" fillId="2" borderId="0" xfId="4" applyFont="1" applyFill="1"/>
    <xf numFmtId="10" fontId="4" fillId="2" borderId="0" xfId="2" applyNumberFormat="1" applyFont="1" applyFill="1" applyBorder="1" applyAlignment="1">
      <alignment horizontal="center"/>
    </xf>
    <xf numFmtId="0" fontId="4" fillId="2" borderId="0" xfId="0" applyFont="1" applyFill="1" applyBorder="1" applyAlignment="1">
      <alignment horizontal="center"/>
    </xf>
    <xf numFmtId="0" fontId="2" fillId="2" borderId="0" xfId="0" applyFont="1" applyFill="1" applyBorder="1" applyAlignment="1"/>
    <xf numFmtId="7" fontId="4" fillId="2" borderId="0" xfId="1" applyNumberFormat="1" applyFont="1" applyFill="1" applyBorder="1" applyAlignment="1">
      <alignment horizontal="center"/>
    </xf>
    <xf numFmtId="166" fontId="4" fillId="2" borderId="0" xfId="1" applyNumberFormat="1" applyFont="1" applyFill="1" applyBorder="1" applyAlignment="1">
      <alignment horizontal="center"/>
    </xf>
    <xf numFmtId="0" fontId="0" fillId="2" borderId="0" xfId="0" applyFill="1" applyBorder="1"/>
    <xf numFmtId="0" fontId="4" fillId="2" borderId="0" xfId="1" applyNumberFormat="1" applyFont="1" applyFill="1" applyBorder="1" applyAlignment="1">
      <alignment horizontal="center"/>
    </xf>
    <xf numFmtId="0" fontId="14" fillId="2" borderId="1" xfId="0" applyFont="1" applyFill="1" applyBorder="1" applyAlignment="1">
      <alignment horizontal="center"/>
    </xf>
    <xf numFmtId="0" fontId="0" fillId="2" borderId="1" xfId="0" applyFont="1" applyFill="1" applyBorder="1" applyAlignment="1">
      <alignment wrapText="1"/>
    </xf>
    <xf numFmtId="1" fontId="0" fillId="2" borderId="1" xfId="0" applyNumberFormat="1" applyFill="1" applyBorder="1" applyAlignment="1">
      <alignment horizontal="center"/>
    </xf>
    <xf numFmtId="10" fontId="4" fillId="2" borderId="2" xfId="2" applyNumberFormat="1" applyFont="1" applyFill="1" applyBorder="1" applyAlignment="1">
      <alignment horizontal="center"/>
    </xf>
    <xf numFmtId="0" fontId="0" fillId="2" borderId="31" xfId="0" applyFill="1" applyBorder="1"/>
    <xf numFmtId="0" fontId="0" fillId="2" borderId="2" xfId="0" applyFill="1" applyBorder="1"/>
    <xf numFmtId="0" fontId="0" fillId="2" borderId="1" xfId="0" applyFill="1" applyBorder="1" applyAlignment="1">
      <alignment horizontal="center" wrapText="1"/>
    </xf>
    <xf numFmtId="0" fontId="0" fillId="2" borderId="1" xfId="0" applyFont="1" applyFill="1" applyBorder="1" applyAlignment="1">
      <alignment horizontal="center" wrapText="1"/>
    </xf>
    <xf numFmtId="0" fontId="0" fillId="2" borderId="0" xfId="0" applyFill="1" applyBorder="1" applyAlignment="1">
      <alignment horizontal="center"/>
    </xf>
    <xf numFmtId="166" fontId="4" fillId="2" borderId="0" xfId="0" applyNumberFormat="1" applyFont="1" applyFill="1" applyBorder="1" applyAlignment="1">
      <alignment horizontal="center"/>
    </xf>
    <xf numFmtId="0" fontId="0" fillId="2" borderId="31" xfId="0" applyFont="1" applyFill="1" applyBorder="1" applyAlignment="1">
      <alignment wrapText="1"/>
    </xf>
    <xf numFmtId="166" fontId="4" fillId="2" borderId="31" xfId="0" applyNumberFormat="1" applyFont="1" applyFill="1" applyBorder="1" applyAlignment="1">
      <alignment horizontal="center"/>
    </xf>
    <xf numFmtId="0" fontId="0" fillId="0" borderId="0" xfId="0" applyAlignment="1">
      <alignment horizontal="center"/>
    </xf>
    <xf numFmtId="0" fontId="0" fillId="2" borderId="0" xfId="0" applyFont="1" applyFill="1" applyBorder="1" applyAlignment="1">
      <alignment horizontal="center" wrapText="1"/>
    </xf>
    <xf numFmtId="0" fontId="0" fillId="2" borderId="0" xfId="0" applyFill="1" applyAlignment="1"/>
    <xf numFmtId="0" fontId="15" fillId="0" borderId="0" xfId="0" applyFont="1" applyAlignment="1">
      <alignment horizontal="center"/>
    </xf>
    <xf numFmtId="164" fontId="0" fillId="0" borderId="0" xfId="0" applyNumberFormat="1" applyAlignment="1">
      <alignment horizontal="center"/>
    </xf>
    <xf numFmtId="164" fontId="0" fillId="0" borderId="0" xfId="0" applyNumberFormat="1" applyAlignment="1">
      <alignment horizontal="left"/>
    </xf>
    <xf numFmtId="165" fontId="6" fillId="0" borderId="1" xfId="0" applyNumberFormat="1" applyFont="1" applyFill="1" applyBorder="1" applyAlignment="1">
      <alignment horizontal="center"/>
    </xf>
    <xf numFmtId="165" fontId="6" fillId="3" borderId="0" xfId="0" applyNumberFormat="1" applyFont="1" applyFill="1" applyAlignment="1">
      <alignment horizontal="center"/>
    </xf>
    <xf numFmtId="0" fontId="0" fillId="2" borderId="0" xfId="0" applyFill="1" applyAlignment="1">
      <alignment horizontal="left" vertical="center" indent="2"/>
    </xf>
    <xf numFmtId="49" fontId="9" fillId="2" borderId="0" xfId="0" applyNumberFormat="1" applyFont="1" applyFill="1" applyAlignment="1">
      <alignment horizontal="left" vertical="top" wrapText="1"/>
    </xf>
    <xf numFmtId="0" fontId="18" fillId="2" borderId="0" xfId="0" applyFont="1" applyFill="1" applyAlignment="1">
      <alignment horizontal="left" vertical="center" indent="2"/>
    </xf>
    <xf numFmtId="49" fontId="9" fillId="2" borderId="0" xfId="0" applyNumberFormat="1" applyFont="1" applyFill="1" applyAlignment="1">
      <alignment horizontal="left" vertical="top"/>
    </xf>
    <xf numFmtId="0" fontId="9" fillId="2" borderId="0" xfId="0" applyFont="1" applyFill="1" applyAlignment="1">
      <alignment vertical="top"/>
    </xf>
    <xf numFmtId="0" fontId="0" fillId="2" borderId="0" xfId="0" applyFill="1" applyAlignment="1">
      <alignment horizontal="left" vertical="center" indent="5"/>
    </xf>
    <xf numFmtId="49" fontId="9" fillId="2" borderId="0" xfId="0" applyNumberFormat="1" applyFont="1" applyFill="1" applyAlignment="1">
      <alignment vertical="top"/>
    </xf>
    <xf numFmtId="49" fontId="0" fillId="2" borderId="0" xfId="0" applyNumberFormat="1" applyFill="1"/>
    <xf numFmtId="0" fontId="0" fillId="2" borderId="0" xfId="0" quotePrefix="1" applyFill="1" applyAlignment="1"/>
    <xf numFmtId="0" fontId="19" fillId="2" borderId="0" xfId="0" applyFont="1" applyFill="1" applyAlignment="1">
      <alignment horizontal="left" vertical="center" indent="10"/>
    </xf>
    <xf numFmtId="0" fontId="0" fillId="2" borderId="0" xfId="0" applyFill="1" applyAlignment="1">
      <alignment horizontal="left" vertical="top" indent="10"/>
    </xf>
    <xf numFmtId="0" fontId="0" fillId="2" borderId="0" xfId="0" applyFill="1" applyAlignment="1">
      <alignment horizontal="left" vertical="center" indent="10"/>
    </xf>
    <xf numFmtId="0" fontId="0" fillId="2" borderId="0" xfId="0" quotePrefix="1" applyFill="1" applyAlignment="1">
      <alignment wrapText="1"/>
    </xf>
    <xf numFmtId="0" fontId="0" fillId="2" borderId="0" xfId="0" applyFill="1" applyAlignment="1">
      <alignment wrapText="1"/>
    </xf>
    <xf numFmtId="0" fontId="20" fillId="2" borderId="0" xfId="0" applyFont="1" applyFill="1" applyAlignment="1">
      <alignment horizontal="left" vertical="center" indent="5"/>
    </xf>
    <xf numFmtId="0" fontId="0" fillId="2" borderId="8" xfId="0" applyFill="1" applyBorder="1" applyAlignment="1">
      <alignment horizontal="center"/>
    </xf>
    <xf numFmtId="0" fontId="0" fillId="0" borderId="32" xfId="0" applyFont="1" applyFill="1" applyBorder="1" applyAlignment="1">
      <alignment horizontal="center"/>
    </xf>
    <xf numFmtId="0" fontId="0" fillId="0" borderId="34" xfId="0" applyFont="1" applyFill="1" applyBorder="1" applyAlignment="1">
      <alignment horizontal="center"/>
    </xf>
    <xf numFmtId="0" fontId="0" fillId="2" borderId="32" xfId="0" applyFill="1" applyBorder="1" applyAlignment="1">
      <alignment horizontal="center"/>
    </xf>
    <xf numFmtId="0" fontId="0" fillId="2" borderId="2" xfId="0" applyFill="1" applyBorder="1" applyAlignment="1">
      <alignment horizontal="center"/>
    </xf>
    <xf numFmtId="0" fontId="0" fillId="2" borderId="34" xfId="0" applyFill="1" applyBorder="1" applyAlignment="1">
      <alignment horizontal="center"/>
    </xf>
    <xf numFmtId="0" fontId="7" fillId="2" borderId="0" xfId="4" applyFill="1"/>
    <xf numFmtId="0" fontId="2" fillId="2" borderId="0" xfId="0" applyFont="1" applyFill="1"/>
    <xf numFmtId="0" fontId="22" fillId="2" borderId="1" xfId="0" applyFont="1" applyFill="1" applyBorder="1" applyAlignment="1">
      <alignment horizontal="left" wrapText="1"/>
    </xf>
    <xf numFmtId="167" fontId="14" fillId="2" borderId="0" xfId="1" applyNumberFormat="1" applyFont="1" applyFill="1" applyBorder="1" applyAlignment="1">
      <alignment horizontal="center"/>
    </xf>
    <xf numFmtId="167" fontId="14" fillId="2" borderId="0" xfId="1" applyNumberFormat="1" applyFont="1" applyFill="1" applyBorder="1" applyAlignment="1">
      <alignment horizontal="left"/>
    </xf>
    <xf numFmtId="169" fontId="1" fillId="4" borderId="19" xfId="7" applyNumberFormat="1" applyBorder="1" applyProtection="1">
      <protection hidden="1"/>
    </xf>
    <xf numFmtId="169" fontId="1" fillId="0" borderId="19" xfId="7" applyNumberFormat="1" applyFill="1" applyBorder="1" applyProtection="1">
      <protection hidden="1"/>
    </xf>
    <xf numFmtId="169" fontId="1" fillId="4" borderId="23" xfId="7" applyNumberFormat="1" applyBorder="1" applyProtection="1">
      <protection hidden="1"/>
    </xf>
    <xf numFmtId="169" fontId="1" fillId="4" borderId="20" xfId="7" applyNumberFormat="1" applyBorder="1" applyProtection="1">
      <protection hidden="1"/>
    </xf>
    <xf numFmtId="169" fontId="1" fillId="0" borderId="20" xfId="7" applyNumberFormat="1" applyFill="1" applyBorder="1" applyProtection="1">
      <protection hidden="1"/>
    </xf>
    <xf numFmtId="169" fontId="1" fillId="4" borderId="24" xfId="7" applyNumberFormat="1" applyBorder="1" applyProtection="1">
      <protection hidden="1"/>
    </xf>
    <xf numFmtId="0" fontId="5" fillId="2" borderId="0" xfId="0" applyFont="1" applyFill="1" applyAlignment="1">
      <alignment horizontal="center"/>
    </xf>
    <xf numFmtId="0" fontId="5" fillId="2" borderId="0" xfId="0" applyFont="1" applyFill="1" applyAlignment="1">
      <alignment horizontal="right"/>
    </xf>
    <xf numFmtId="0" fontId="8" fillId="2" borderId="0" xfId="0" applyFont="1" applyFill="1" applyAlignment="1">
      <alignment horizontal="center"/>
    </xf>
    <xf numFmtId="0" fontId="9" fillId="2" borderId="0" xfId="0" applyFont="1" applyFill="1" applyAlignment="1">
      <alignment horizontal="left" vertical="top" wrapText="1"/>
    </xf>
    <xf numFmtId="0" fontId="0" fillId="2" borderId="0" xfId="0" applyFill="1" applyAlignment="1">
      <alignment horizontal="left" vertical="center" wrapText="1" indent="5"/>
    </xf>
    <xf numFmtId="49" fontId="0" fillId="2" borderId="0" xfId="0" applyNumberFormat="1" applyFill="1" applyAlignment="1">
      <alignment horizontal="left" vertical="center" wrapText="1" indent="5"/>
    </xf>
    <xf numFmtId="49" fontId="0" fillId="2" borderId="0" xfId="0" applyNumberFormat="1" applyFill="1" applyAlignment="1">
      <alignment horizontal="left" wrapText="1" indent="5"/>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13" fillId="2" borderId="3" xfId="0" applyFont="1" applyFill="1" applyBorder="1" applyAlignment="1">
      <alignment horizont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wrapText="1"/>
    </xf>
    <xf numFmtId="0" fontId="0" fillId="0" borderId="0" xfId="0" applyAlignment="1">
      <alignment horizontal="center"/>
    </xf>
    <xf numFmtId="0" fontId="0" fillId="2" borderId="1" xfId="0" applyFill="1" applyBorder="1" applyProtection="1"/>
    <xf numFmtId="0" fontId="0" fillId="2" borderId="1" xfId="0" applyFont="1" applyFill="1" applyBorder="1" applyAlignment="1" applyProtection="1">
      <alignment wrapText="1"/>
    </xf>
    <xf numFmtId="0" fontId="21" fillId="2" borderId="1" xfId="0" applyFont="1" applyFill="1" applyBorder="1" applyAlignment="1" applyProtection="1">
      <alignment horizontal="center"/>
      <protection locked="0"/>
    </xf>
    <xf numFmtId="164" fontId="21" fillId="2" borderId="1" xfId="0" applyNumberFormat="1" applyFont="1" applyFill="1" applyBorder="1" applyAlignment="1" applyProtection="1">
      <alignment horizontal="center"/>
      <protection locked="0"/>
    </xf>
    <xf numFmtId="0" fontId="21" fillId="2" borderId="1" xfId="0" applyNumberFormat="1" applyFont="1" applyFill="1" applyBorder="1" applyAlignment="1" applyProtection="1">
      <alignment horizontal="center"/>
      <protection locked="0"/>
    </xf>
    <xf numFmtId="166" fontId="21" fillId="2" borderId="1" xfId="0" applyNumberFormat="1" applyFont="1" applyFill="1" applyBorder="1" applyAlignment="1" applyProtection="1">
      <alignment horizontal="center"/>
      <protection locked="0"/>
    </xf>
    <xf numFmtId="7" fontId="21" fillId="2" borderId="1" xfId="1" applyNumberFormat="1" applyFont="1" applyFill="1" applyBorder="1" applyAlignment="1" applyProtection="1">
      <alignment horizontal="center"/>
      <protection locked="0"/>
    </xf>
    <xf numFmtId="166" fontId="21" fillId="2" borderId="1" xfId="1" applyNumberFormat="1" applyFont="1" applyFill="1" applyBorder="1" applyAlignment="1" applyProtection="1">
      <alignment horizontal="center"/>
      <protection locked="0"/>
    </xf>
    <xf numFmtId="9" fontId="21" fillId="2" borderId="1" xfId="2" applyNumberFormat="1" applyFont="1" applyFill="1" applyBorder="1" applyAlignment="1" applyProtection="1">
      <alignment horizontal="center"/>
      <protection locked="0"/>
    </xf>
    <xf numFmtId="10" fontId="21" fillId="2" borderId="3" xfId="2" applyNumberFormat="1" applyFont="1" applyFill="1" applyBorder="1" applyAlignment="1" applyProtection="1">
      <alignment horizontal="center"/>
      <protection locked="0"/>
    </xf>
    <xf numFmtId="168" fontId="21" fillId="2" borderId="8" xfId="1" applyNumberFormat="1" applyFont="1" applyFill="1" applyBorder="1" applyAlignment="1" applyProtection="1">
      <alignment horizontal="center"/>
      <protection locked="0"/>
    </xf>
    <xf numFmtId="168" fontId="2" fillId="0" borderId="33" xfId="1" applyNumberFormat="1" applyFont="1" applyFill="1" applyBorder="1" applyAlignment="1" applyProtection="1">
      <alignment horizontal="center"/>
      <protection locked="0"/>
    </xf>
    <xf numFmtId="168" fontId="2" fillId="0" borderId="35" xfId="1" applyNumberFormat="1"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164" fontId="4" fillId="2" borderId="1" xfId="0" applyNumberFormat="1" applyFont="1" applyFill="1" applyBorder="1" applyAlignment="1" applyProtection="1">
      <alignment horizontal="center"/>
      <protection locked="0"/>
    </xf>
    <xf numFmtId="0" fontId="4" fillId="2" borderId="1" xfId="0" applyNumberFormat="1" applyFont="1" applyFill="1" applyBorder="1" applyAlignment="1" applyProtection="1">
      <alignment horizontal="center"/>
      <protection locked="0"/>
    </xf>
    <xf numFmtId="166" fontId="4" fillId="2" borderId="1" xfId="0" applyNumberFormat="1" applyFont="1" applyFill="1" applyBorder="1" applyAlignment="1" applyProtection="1">
      <alignment horizontal="center"/>
      <protection locked="0"/>
    </xf>
    <xf numFmtId="7" fontId="4" fillId="2" borderId="1" xfId="1" applyNumberFormat="1" applyFont="1" applyFill="1" applyBorder="1" applyAlignment="1" applyProtection="1">
      <alignment horizontal="center"/>
      <protection locked="0"/>
    </xf>
    <xf numFmtId="166" fontId="4" fillId="2" borderId="1" xfId="1" applyNumberFormat="1" applyFont="1" applyFill="1" applyBorder="1" applyAlignment="1" applyProtection="1">
      <alignment horizontal="center"/>
      <protection locked="0"/>
    </xf>
    <xf numFmtId="9" fontId="4" fillId="2" borderId="1" xfId="2" applyNumberFormat="1" applyFont="1" applyFill="1" applyBorder="1" applyAlignment="1" applyProtection="1">
      <alignment horizontal="center"/>
      <protection locked="0"/>
    </xf>
    <xf numFmtId="10" fontId="4" fillId="2" borderId="1" xfId="2" applyNumberFormat="1" applyFont="1" applyFill="1" applyBorder="1" applyAlignment="1" applyProtection="1">
      <alignment horizontal="center"/>
      <protection locked="0"/>
    </xf>
    <xf numFmtId="0" fontId="4" fillId="2" borderId="1" xfId="1" applyNumberFormat="1" applyFont="1" applyFill="1" applyBorder="1" applyAlignment="1" applyProtection="1">
      <alignment horizontal="center"/>
      <protection locked="0"/>
    </xf>
    <xf numFmtId="0" fontId="4" fillId="2" borderId="33" xfId="1" applyNumberFormat="1" applyFont="1" applyFill="1" applyBorder="1" applyAlignment="1" applyProtection="1">
      <alignment horizontal="center"/>
      <protection locked="0"/>
    </xf>
    <xf numFmtId="0" fontId="4" fillId="2" borderId="36" xfId="1" applyNumberFormat="1" applyFont="1" applyFill="1" applyBorder="1" applyAlignment="1" applyProtection="1">
      <alignment horizontal="center"/>
      <protection locked="0"/>
    </xf>
    <xf numFmtId="0" fontId="4" fillId="2" borderId="35" xfId="1" applyNumberFormat="1" applyFont="1" applyFill="1" applyBorder="1" applyAlignment="1" applyProtection="1">
      <alignment horizontal="center"/>
      <protection locked="0"/>
    </xf>
    <xf numFmtId="0" fontId="0" fillId="0" borderId="0" xfId="0" applyProtection="1">
      <protection hidden="1"/>
    </xf>
    <xf numFmtId="0" fontId="0" fillId="0" borderId="37" xfId="0" applyBorder="1" applyAlignment="1" applyProtection="1">
      <alignment wrapText="1"/>
      <protection hidden="1"/>
    </xf>
    <xf numFmtId="0" fontId="11" fillId="0" borderId="9" xfId="5" applyFill="1" applyBorder="1" applyAlignment="1" applyProtection="1">
      <alignment horizontal="center"/>
      <protection hidden="1"/>
    </xf>
    <xf numFmtId="0" fontId="11" fillId="0" borderId="10" xfId="5" applyFill="1" applyBorder="1" applyAlignment="1" applyProtection="1">
      <alignment horizontal="center"/>
      <protection hidden="1"/>
    </xf>
    <xf numFmtId="0" fontId="11" fillId="0" borderId="11" xfId="5" applyFill="1" applyBorder="1" applyAlignment="1" applyProtection="1">
      <alignment horizontal="center"/>
      <protection hidden="1"/>
    </xf>
    <xf numFmtId="0" fontId="11" fillId="4" borderId="12" xfId="5" applyFill="1" applyBorder="1" applyAlignment="1" applyProtection="1">
      <alignment horizontal="center"/>
      <protection hidden="1"/>
    </xf>
    <xf numFmtId="0" fontId="11" fillId="4" borderId="13" xfId="5" applyFill="1" applyBorder="1" applyAlignment="1" applyProtection="1">
      <alignment horizontal="center"/>
      <protection hidden="1"/>
    </xf>
    <xf numFmtId="0" fontId="11" fillId="4" borderId="14" xfId="5" applyFill="1" applyBorder="1" applyAlignment="1" applyProtection="1">
      <alignment horizontal="center"/>
      <protection hidden="1"/>
    </xf>
    <xf numFmtId="0" fontId="12" fillId="2" borderId="15" xfId="6" applyFill="1" applyBorder="1" applyAlignment="1" applyProtection="1">
      <alignment horizontal="center" wrapText="1"/>
      <protection hidden="1"/>
    </xf>
    <xf numFmtId="0" fontId="12" fillId="2" borderId="16" xfId="6" applyFill="1" applyBorder="1" applyAlignment="1" applyProtection="1">
      <alignment horizontal="center" wrapText="1"/>
      <protection hidden="1"/>
    </xf>
    <xf numFmtId="0" fontId="12" fillId="2" borderId="17" xfId="6" applyFill="1" applyBorder="1" applyAlignment="1" applyProtection="1">
      <alignment horizontal="center" wrapText="1"/>
      <protection hidden="1"/>
    </xf>
    <xf numFmtId="166" fontId="1" fillId="4" borderId="18" xfId="7" applyNumberFormat="1" applyBorder="1" applyProtection="1">
      <protection hidden="1"/>
    </xf>
    <xf numFmtId="166" fontId="1" fillId="4" borderId="8" xfId="7" applyNumberFormat="1" applyBorder="1" applyProtection="1">
      <protection hidden="1"/>
    </xf>
    <xf numFmtId="166" fontId="0" fillId="0" borderId="21" xfId="2" applyNumberFormat="1" applyFont="1" applyFill="1" applyBorder="1" applyProtection="1">
      <protection hidden="1"/>
    </xf>
    <xf numFmtId="166" fontId="0" fillId="0" borderId="19" xfId="2" applyNumberFormat="1" applyFont="1" applyFill="1" applyBorder="1" applyProtection="1">
      <protection hidden="1"/>
    </xf>
    <xf numFmtId="166" fontId="1" fillId="4" borderId="21" xfId="7" applyNumberFormat="1" applyBorder="1" applyProtection="1">
      <protection hidden="1"/>
    </xf>
    <xf numFmtId="166" fontId="1" fillId="4" borderId="19" xfId="7" applyNumberFormat="1" applyBorder="1" applyProtection="1">
      <protection hidden="1"/>
    </xf>
    <xf numFmtId="166" fontId="1" fillId="4" borderId="22" xfId="7" applyNumberFormat="1" applyBorder="1" applyProtection="1">
      <protection hidden="1"/>
    </xf>
    <xf numFmtId="166" fontId="1" fillId="4" borderId="23" xfId="7" applyNumberFormat="1" applyBorder="1" applyProtection="1">
      <protection hidden="1"/>
    </xf>
    <xf numFmtId="0" fontId="11" fillId="0" borderId="25" xfId="5" applyFill="1" applyBorder="1" applyAlignment="1" applyProtection="1">
      <alignment horizontal="center"/>
      <protection hidden="1"/>
    </xf>
    <xf numFmtId="0" fontId="11" fillId="0" borderId="26" xfId="5" applyFill="1" applyBorder="1" applyAlignment="1" applyProtection="1">
      <alignment horizontal="center"/>
      <protection hidden="1"/>
    </xf>
    <xf numFmtId="0" fontId="11" fillId="0" borderId="27" xfId="5" applyFill="1" applyBorder="1" applyAlignment="1" applyProtection="1">
      <alignment horizontal="center"/>
      <protection hidden="1"/>
    </xf>
    <xf numFmtId="0" fontId="11" fillId="4" borderId="28" xfId="5" applyFill="1" applyBorder="1" applyAlignment="1" applyProtection="1">
      <alignment horizontal="center"/>
      <protection hidden="1"/>
    </xf>
    <xf numFmtId="0" fontId="11" fillId="4" borderId="29" xfId="5" applyFill="1" applyBorder="1" applyAlignment="1" applyProtection="1">
      <alignment horizontal="center"/>
      <protection hidden="1"/>
    </xf>
    <xf numFmtId="0" fontId="11" fillId="4" borderId="30" xfId="5" applyFill="1" applyBorder="1" applyAlignment="1" applyProtection="1">
      <alignment horizontal="center"/>
      <protection hidden="1"/>
    </xf>
  </cellXfs>
  <cellStyles count="8">
    <cellStyle name="20% - Accent1" xfId="7" builtinId="30"/>
    <cellStyle name="Currency" xfId="1" builtinId="4"/>
    <cellStyle name="Heading 1" xfId="5" builtinId="16"/>
    <cellStyle name="Heading 3" xfId="6" builtinId="18"/>
    <cellStyle name="Hyperlink" xfId="4" builtinId="8"/>
    <cellStyle name="Normal" xfId="0" builtinId="0"/>
    <cellStyle name="Normal 2" xfId="3"/>
    <cellStyle name="Percent" xfId="2" builtinId="5"/>
  </cellStyles>
  <dxfs count="13">
    <dxf>
      <font>
        <b/>
        <i val="0"/>
        <color theme="0" tint="-0.24994659260841701"/>
      </font>
      <numFmt numFmtId="170" formatCode="&quot;$&quot;0.00##"/>
      <fill>
        <patternFill>
          <bgColor theme="0" tint="-0.24994659260841701"/>
        </patternFill>
      </fill>
    </dxf>
    <dxf>
      <font>
        <b/>
        <i val="0"/>
        <color theme="0" tint="-0.24994659260841701"/>
      </font>
      <numFmt numFmtId="14" formatCode="0.00%"/>
      <fill>
        <patternFill>
          <bgColor theme="0" tint="-0.24994659260841701"/>
        </patternFill>
      </fill>
    </dxf>
    <dxf>
      <font>
        <b/>
        <i val="0"/>
        <color rgb="FF0066FF"/>
      </font>
      <numFmt numFmtId="14" formatCode="0.00%"/>
    </dxf>
    <dxf>
      <font>
        <b/>
        <i val="0"/>
        <color rgb="FF0066FF"/>
      </font>
      <numFmt numFmtId="170" formatCode="&quot;$&quot;0.00##"/>
    </dxf>
    <dxf>
      <font>
        <b/>
        <i val="0"/>
        <color rgb="FF0066FF"/>
      </font>
      <numFmt numFmtId="14" formatCode="0.00%"/>
    </dxf>
    <dxf>
      <font>
        <b/>
        <i val="0"/>
        <color rgb="FF0066FF"/>
      </font>
      <numFmt numFmtId="170" formatCode="&quot;$&quot;0.00##"/>
    </dxf>
    <dxf>
      <font>
        <color theme="0"/>
      </font>
      <fill>
        <patternFill>
          <bgColor theme="0"/>
        </patternFill>
      </fill>
    </dxf>
    <dxf>
      <font>
        <b/>
        <i val="0"/>
        <color theme="0" tint="-0.24994659260841701"/>
      </font>
      <numFmt numFmtId="170" formatCode="&quot;$&quot;0.00##"/>
      <fill>
        <patternFill>
          <bgColor theme="0" tint="-0.24994659260841701"/>
        </patternFill>
      </fill>
    </dxf>
    <dxf>
      <font>
        <b/>
        <i val="0"/>
        <color theme="0" tint="-0.24994659260841701"/>
      </font>
      <numFmt numFmtId="14" formatCode="0.00%"/>
      <fill>
        <patternFill>
          <bgColor theme="0" tint="-0.24994659260841701"/>
        </patternFill>
      </fill>
    </dxf>
    <dxf>
      <font>
        <b/>
        <i val="0"/>
        <color rgb="FF0066FF"/>
      </font>
      <numFmt numFmtId="14" formatCode="0.00%"/>
    </dxf>
    <dxf>
      <font>
        <b/>
        <i val="0"/>
        <color rgb="FF0066FF"/>
      </font>
      <numFmt numFmtId="170" formatCode="&quot;$&quot;0.00##"/>
    </dxf>
    <dxf>
      <font>
        <b/>
        <i val="0"/>
        <color rgb="FF0066FF"/>
      </font>
      <numFmt numFmtId="14" formatCode="0.00%"/>
    </dxf>
    <dxf>
      <font>
        <b/>
        <i val="0"/>
        <color rgb="FF0066FF"/>
      </font>
      <numFmt numFmtId="170" formatCode="&quot;$&quot;0.00##"/>
    </dxf>
  </dxfs>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180975</xdr:rowOff>
    </xdr:from>
    <xdr:to>
      <xdr:col>12</xdr:col>
      <xdr:colOff>533400</xdr:colOff>
      <xdr:row>5</xdr:row>
      <xdr:rowOff>66675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80975"/>
          <a:ext cx="75438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19</xdr:row>
      <xdr:rowOff>0</xdr:rowOff>
    </xdr:from>
    <xdr:to>
      <xdr:col>12</xdr:col>
      <xdr:colOff>495300</xdr:colOff>
      <xdr:row>21</xdr:row>
      <xdr:rowOff>28574</xdr:rowOff>
    </xdr:to>
    <xdr:grpSp>
      <xdr:nvGrpSpPr>
        <xdr:cNvPr id="5" name="Group 4"/>
        <xdr:cNvGrpSpPr/>
      </xdr:nvGrpSpPr>
      <xdr:grpSpPr>
        <a:xfrm>
          <a:off x="285750" y="3800475"/>
          <a:ext cx="7429500" cy="409574"/>
          <a:chOff x="609600" y="6362700"/>
          <a:chExt cx="9130939" cy="409575"/>
        </a:xfrm>
      </xdr:grpSpPr>
      <xdr:pic>
        <xdr:nvPicPr>
          <xdr:cNvPr id="3" name="Picture 2" descr="ces-footer-black"/>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6362700"/>
            <a:ext cx="9130939"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Box 3"/>
          <xdr:cNvSpPr txBox="1"/>
        </xdr:nvSpPr>
        <xdr:spPr>
          <a:xfrm>
            <a:off x="1666876" y="6545140"/>
            <a:ext cx="6810374"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700" b="0" i="0" u="none" strike="noStrike">
                <a:solidFill>
                  <a:schemeClr val="tx1"/>
                </a:solidFill>
                <a:effectLst/>
                <a:latin typeface="+mn-lt"/>
                <a:ea typeface="+mn-ea"/>
                <a:cs typeface="+mn-cs"/>
              </a:rPr>
              <a:t>Educational programs of Kentucky Cooperative Extension serve all people regardless of race, color, age, sex, religion, disability, or national origin.</a:t>
            </a:r>
            <a:r>
              <a:rPr lang="en-US" sz="700">
                <a:effectLst/>
              </a:rPr>
              <a:t> </a:t>
            </a:r>
            <a:endParaRPr lang="en-US" sz="700"/>
          </a:p>
        </xdr:txBody>
      </xdr:sp>
    </xdr:grpSp>
    <xdr:clientData/>
  </xdr:twoCellAnchor>
  <xdr:twoCellAnchor>
    <xdr:from>
      <xdr:col>1</xdr:col>
      <xdr:colOff>64713</xdr:colOff>
      <xdr:row>18</xdr:row>
      <xdr:rowOff>142875</xdr:rowOff>
    </xdr:from>
    <xdr:to>
      <xdr:col>2</xdr:col>
      <xdr:colOff>304801</xdr:colOff>
      <xdr:row>21</xdr:row>
      <xdr:rowOff>28575</xdr:rowOff>
    </xdr:to>
    <xdr:pic>
      <xdr:nvPicPr>
        <xdr:cNvPr id="6" name="Picture 1" descr="http://www.ca.uky.edu/MarketingResources/graphics/UKAgGraphics/UKAgExtension/UK286Extensionblk.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5213" y="3800475"/>
          <a:ext cx="84968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49</xdr:row>
      <xdr:rowOff>0</xdr:rowOff>
    </xdr:from>
    <xdr:to>
      <xdr:col>14</xdr:col>
      <xdr:colOff>238125</xdr:colOff>
      <xdr:row>51</xdr:row>
      <xdr:rowOff>28575</xdr:rowOff>
    </xdr:to>
    <xdr:grpSp>
      <xdr:nvGrpSpPr>
        <xdr:cNvPr id="3" name="Group 2"/>
        <xdr:cNvGrpSpPr/>
      </xdr:nvGrpSpPr>
      <xdr:grpSpPr>
        <a:xfrm>
          <a:off x="190500" y="9782175"/>
          <a:ext cx="8229600" cy="409575"/>
          <a:chOff x="609600" y="6362700"/>
          <a:chExt cx="9130939" cy="409575"/>
        </a:xfrm>
      </xdr:grpSpPr>
      <xdr:pic>
        <xdr:nvPicPr>
          <xdr:cNvPr id="4" name="Picture 3" descr="ces-footer-bl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6362700"/>
            <a:ext cx="9130939"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TextBox 4"/>
          <xdr:cNvSpPr txBox="1"/>
        </xdr:nvSpPr>
        <xdr:spPr>
          <a:xfrm>
            <a:off x="2734266" y="6545140"/>
            <a:ext cx="6810374"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700" b="0" i="0" u="none" strike="noStrike">
                <a:solidFill>
                  <a:schemeClr val="tx1"/>
                </a:solidFill>
                <a:effectLst/>
                <a:latin typeface="+mn-lt"/>
                <a:ea typeface="+mn-ea"/>
                <a:cs typeface="+mn-cs"/>
              </a:rPr>
              <a:t>Educational programs of Kentucky Cooperative Extension serve all people regardless of race, color, age, sex, religion, disability, or national origin.</a:t>
            </a:r>
            <a:r>
              <a:rPr lang="en-US" sz="700">
                <a:effectLst/>
              </a:rPr>
              <a:t> </a:t>
            </a:r>
            <a:endParaRPr lang="en-US" sz="700"/>
          </a:p>
        </xdr:txBody>
      </xdr:sp>
    </xdr:grpSp>
    <xdr:clientData/>
  </xdr:twoCellAnchor>
  <xdr:twoCellAnchor>
    <xdr:from>
      <xdr:col>1</xdr:col>
      <xdr:colOff>0</xdr:colOff>
      <xdr:row>48</xdr:row>
      <xdr:rowOff>104775</xdr:rowOff>
    </xdr:from>
    <xdr:to>
      <xdr:col>2</xdr:col>
      <xdr:colOff>123825</xdr:colOff>
      <xdr:row>51</xdr:row>
      <xdr:rowOff>24587</xdr:rowOff>
    </xdr:to>
    <xdr:pic>
      <xdr:nvPicPr>
        <xdr:cNvPr id="6" name="Picture 1" descr="http://www.ca.uky.edu/MarketingResources/graphics/UKAgGraphics/UKAgExtension/UK286Extensionblk.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9886950"/>
          <a:ext cx="800100" cy="491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9525</xdr:rowOff>
    </xdr:from>
    <xdr:to>
      <xdr:col>13</xdr:col>
      <xdr:colOff>161925</xdr:colOff>
      <xdr:row>5</xdr:row>
      <xdr:rowOff>85725</xdr:rowOff>
    </xdr:to>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200025"/>
          <a:ext cx="75438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16864</xdr:colOff>
      <xdr:row>1</xdr:row>
      <xdr:rowOff>33617</xdr:rowOff>
    </xdr:from>
    <xdr:to>
      <xdr:col>9</xdr:col>
      <xdr:colOff>605594</xdr:colOff>
      <xdr:row>6</xdr:row>
      <xdr:rowOff>14568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364" y="224117"/>
          <a:ext cx="9060377" cy="933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34</xdr:row>
      <xdr:rowOff>44823</xdr:rowOff>
    </xdr:from>
    <xdr:to>
      <xdr:col>9</xdr:col>
      <xdr:colOff>542925</xdr:colOff>
      <xdr:row>36</xdr:row>
      <xdr:rowOff>73398</xdr:rowOff>
    </xdr:to>
    <xdr:pic>
      <xdr:nvPicPr>
        <xdr:cNvPr id="3" name="Picture 2" descr="ces-footer-black"/>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7171764"/>
          <a:ext cx="9014572"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69809</xdr:colOff>
      <xdr:row>35</xdr:row>
      <xdr:rowOff>36763</xdr:rowOff>
    </xdr:from>
    <xdr:ext cx="6810374" cy="201915"/>
    <xdr:sp macro="" textlink="">
      <xdr:nvSpPr>
        <xdr:cNvPr id="4" name="TextBox 3"/>
        <xdr:cNvSpPr txBox="1"/>
      </xdr:nvSpPr>
      <xdr:spPr>
        <a:xfrm>
          <a:off x="2411838" y="7354204"/>
          <a:ext cx="6810374"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700" b="0" i="0" u="none" strike="noStrike">
              <a:solidFill>
                <a:schemeClr val="tx1"/>
              </a:solidFill>
              <a:effectLst/>
              <a:latin typeface="+mn-lt"/>
              <a:ea typeface="+mn-ea"/>
              <a:cs typeface="+mn-cs"/>
            </a:rPr>
            <a:t>Educational programs of Kentucky Cooperative Extension serve all people regardless of race, color, age, sex, religion, disability, or national origin.</a:t>
          </a:r>
          <a:r>
            <a:rPr lang="en-US" sz="700">
              <a:effectLst/>
            </a:rPr>
            <a:t> </a:t>
          </a:r>
          <a:endParaRPr lang="en-US" sz="700"/>
        </a:p>
      </xdr:txBody>
    </xdr:sp>
    <xdr:clientData/>
  </xdr:oneCellAnchor>
  <xdr:twoCellAnchor>
    <xdr:from>
      <xdr:col>0</xdr:col>
      <xdr:colOff>190499</xdr:colOff>
      <xdr:row>33</xdr:row>
      <xdr:rowOff>150658</xdr:rowOff>
    </xdr:from>
    <xdr:to>
      <xdr:col>1</xdr:col>
      <xdr:colOff>913320</xdr:colOff>
      <xdr:row>36</xdr:row>
      <xdr:rowOff>96325</xdr:rowOff>
    </xdr:to>
    <xdr:pic>
      <xdr:nvPicPr>
        <xdr:cNvPr id="5" name="Picture 1" descr="http://www.ca.uky.edu/MarketingResources/graphics/UKAgGraphics/UKAgExtension/UK286Extensionblk.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499" y="7087099"/>
          <a:ext cx="913321" cy="517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175131</xdr:colOff>
      <xdr:row>6</xdr:row>
      <xdr:rowOff>44824</xdr:rowOff>
    </xdr:from>
    <xdr:ext cx="2727192" cy="1297919"/>
    <xdr:sp macro="" textlink="">
      <xdr:nvSpPr>
        <xdr:cNvPr id="6" name="TextBox 5"/>
        <xdr:cNvSpPr txBox="1"/>
      </xdr:nvSpPr>
      <xdr:spPr>
        <a:xfrm>
          <a:off x="5643602" y="1187824"/>
          <a:ext cx="2727192" cy="1297919"/>
        </a:xfrm>
        <a:prstGeom prst="rect">
          <a:avLst/>
        </a:prstGeom>
        <a:noFill/>
        <a:ln>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i="1" u="sng"/>
            <a:t>Other Operating Costs Guide</a:t>
          </a:r>
        </a:p>
        <a:p>
          <a:pPr algn="l"/>
          <a:r>
            <a:rPr lang="en-US" sz="1100" i="0" u="none"/>
            <a:t>Includes</a:t>
          </a:r>
          <a:r>
            <a:rPr lang="en-US" sz="1100" i="0" u="none" baseline="0"/>
            <a:t>: Repairs and maintanence, tires, and variable depreciation</a:t>
          </a:r>
          <a:endParaRPr lang="en-US" sz="1100" i="0" u="none"/>
        </a:p>
        <a:p>
          <a:endParaRPr lang="en-US" sz="1100" i="1"/>
        </a:p>
        <a:p>
          <a:r>
            <a:rPr lang="en-US" sz="1100" i="1"/>
            <a:t>Low Cost</a:t>
          </a:r>
          <a:r>
            <a:rPr lang="en-US" sz="1100" i="1" baseline="0"/>
            <a:t> = $0.20/mile</a:t>
          </a:r>
        </a:p>
        <a:p>
          <a:r>
            <a:rPr lang="en-US" sz="1100" i="1" baseline="0"/>
            <a:t>Medium Cost = $0.30/mile</a:t>
          </a:r>
        </a:p>
        <a:p>
          <a:r>
            <a:rPr lang="en-US" sz="1100" i="1" baseline="0"/>
            <a:t>High Cost = $0.40/mile</a:t>
          </a:r>
          <a:endParaRPr lang="en-US" sz="1100" i="1"/>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36475</xdr:colOff>
      <xdr:row>1</xdr:row>
      <xdr:rowOff>9524</xdr:rowOff>
    </xdr:from>
    <xdr:to>
      <xdr:col>9</xdr:col>
      <xdr:colOff>625205</xdr:colOff>
      <xdr:row>5</xdr:row>
      <xdr:rowOff>180975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9875" y="200024"/>
          <a:ext cx="8770705" cy="933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112060</xdr:colOff>
      <xdr:row>45</xdr:row>
      <xdr:rowOff>29695</xdr:rowOff>
    </xdr:from>
    <xdr:to>
      <xdr:col>8</xdr:col>
      <xdr:colOff>856131</xdr:colOff>
      <xdr:row>47</xdr:row>
      <xdr:rowOff>58270</xdr:rowOff>
    </xdr:to>
    <xdr:grpSp>
      <xdr:nvGrpSpPr>
        <xdr:cNvPr id="6" name="Group 5"/>
        <xdr:cNvGrpSpPr/>
      </xdr:nvGrpSpPr>
      <xdr:grpSpPr>
        <a:xfrm>
          <a:off x="112060" y="9285754"/>
          <a:ext cx="8509747" cy="409575"/>
          <a:chOff x="696162" y="6362700"/>
          <a:chExt cx="9130939" cy="409575"/>
        </a:xfrm>
      </xdr:grpSpPr>
      <xdr:pic>
        <xdr:nvPicPr>
          <xdr:cNvPr id="7" name="Picture 6" descr="ces-footer-black"/>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162" y="6362700"/>
            <a:ext cx="9130939"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Box 7"/>
          <xdr:cNvSpPr txBox="1"/>
        </xdr:nvSpPr>
        <xdr:spPr>
          <a:xfrm>
            <a:off x="1753438" y="6545140"/>
            <a:ext cx="6810374"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700" b="0" i="0" u="none" strike="noStrike">
                <a:solidFill>
                  <a:schemeClr val="tx1"/>
                </a:solidFill>
                <a:effectLst/>
                <a:latin typeface="+mn-lt"/>
                <a:ea typeface="+mn-ea"/>
                <a:cs typeface="+mn-cs"/>
              </a:rPr>
              <a:t>Educational programs of Kentucky Cooperative Extension serve all people regardless of race, color, age, sex, religion, disability, or national origin.</a:t>
            </a:r>
            <a:r>
              <a:rPr lang="en-US" sz="700">
                <a:effectLst/>
              </a:rPr>
              <a:t> </a:t>
            </a:r>
            <a:endParaRPr lang="en-US" sz="700"/>
          </a:p>
        </xdr:txBody>
      </xdr:sp>
    </xdr:grpSp>
    <xdr:clientData/>
  </xdr:twoCellAnchor>
  <xdr:twoCellAnchor>
    <xdr:from>
      <xdr:col>0</xdr:col>
      <xdr:colOff>112060</xdr:colOff>
      <xdr:row>44</xdr:row>
      <xdr:rowOff>134470</xdr:rowOff>
    </xdr:from>
    <xdr:to>
      <xdr:col>1</xdr:col>
      <xdr:colOff>721660</xdr:colOff>
      <xdr:row>47</xdr:row>
      <xdr:rowOff>54282</xdr:rowOff>
    </xdr:to>
    <xdr:pic>
      <xdr:nvPicPr>
        <xdr:cNvPr id="9" name="Picture 1" descr="http://www.ca.uky.edu/MarketingResources/graphics/UKAgGraphics/UKAgExtension/UK286Extensionblk.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060" y="9390529"/>
          <a:ext cx="800100" cy="491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168089</xdr:colOff>
      <xdr:row>6</xdr:row>
      <xdr:rowOff>44824</xdr:rowOff>
    </xdr:from>
    <xdr:ext cx="2727192" cy="1297919"/>
    <xdr:sp macro="" textlink="">
      <xdr:nvSpPr>
        <xdr:cNvPr id="11" name="TextBox 10"/>
        <xdr:cNvSpPr txBox="1"/>
      </xdr:nvSpPr>
      <xdr:spPr>
        <a:xfrm>
          <a:off x="5177118" y="1187824"/>
          <a:ext cx="2727192" cy="1297919"/>
        </a:xfrm>
        <a:prstGeom prst="rect">
          <a:avLst/>
        </a:prstGeom>
        <a:noFill/>
        <a:ln>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i="1" u="sng"/>
            <a:t>Other Operating Costs Guide</a:t>
          </a:r>
        </a:p>
        <a:p>
          <a:pPr algn="l"/>
          <a:r>
            <a:rPr lang="en-US" sz="1100" i="0" u="none"/>
            <a:t>Includes</a:t>
          </a:r>
          <a:r>
            <a:rPr lang="en-US" sz="1100" i="0" u="none" baseline="0"/>
            <a:t>: Repairs and maintanence, tires, and variable depreciation</a:t>
          </a:r>
          <a:endParaRPr lang="en-US" sz="1100" i="0" u="none"/>
        </a:p>
        <a:p>
          <a:endParaRPr lang="en-US" sz="1100" i="1"/>
        </a:p>
        <a:p>
          <a:r>
            <a:rPr lang="en-US" sz="1100" i="1"/>
            <a:t>Low Cost</a:t>
          </a:r>
          <a:r>
            <a:rPr lang="en-US" sz="1100" i="1" baseline="0"/>
            <a:t> = $0.20/mile</a:t>
          </a:r>
        </a:p>
        <a:p>
          <a:r>
            <a:rPr lang="en-US" sz="1100" i="1" baseline="0"/>
            <a:t>Medium Cost = $0.30/mile</a:t>
          </a:r>
        </a:p>
        <a:p>
          <a:r>
            <a:rPr lang="en-US" sz="1100" i="1" baseline="0"/>
            <a:t>High Cost = $0.40/mile</a:t>
          </a:r>
          <a:endParaRPr lang="en-US" sz="1100" i="1"/>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1</xdr:colOff>
      <xdr:row>1</xdr:row>
      <xdr:rowOff>28575</xdr:rowOff>
    </xdr:from>
    <xdr:to>
      <xdr:col>14</xdr:col>
      <xdr:colOff>590550</xdr:colOff>
      <xdr:row>6</xdr:row>
      <xdr:rowOff>9526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1" y="219075"/>
          <a:ext cx="8515349" cy="933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566458</xdr:colOff>
      <xdr:row>86</xdr:row>
      <xdr:rowOff>29231</xdr:rowOff>
    </xdr:from>
    <xdr:ext cx="6810374" cy="201915"/>
    <xdr:sp macro="" textlink="">
      <xdr:nvSpPr>
        <xdr:cNvPr id="11" name="TextBox 10"/>
        <xdr:cNvSpPr txBox="1"/>
      </xdr:nvSpPr>
      <xdr:spPr>
        <a:xfrm>
          <a:off x="1176058" y="16993256"/>
          <a:ext cx="6810374"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700" b="0" i="0" u="none" strike="noStrike">
              <a:solidFill>
                <a:schemeClr val="tx1"/>
              </a:solidFill>
              <a:effectLst/>
              <a:latin typeface="+mn-lt"/>
              <a:ea typeface="+mn-ea"/>
              <a:cs typeface="+mn-cs"/>
            </a:rPr>
            <a:t>Educational programs of Kentucky Cooperative Extension serve all people regardless of race, color, age, sex, religion, disability, or national origin.</a:t>
          </a:r>
          <a:r>
            <a:rPr lang="en-US" sz="700">
              <a:effectLst/>
            </a:rPr>
            <a:t> </a:t>
          </a:r>
          <a:endParaRPr lang="en-US" sz="700"/>
        </a:p>
      </xdr:txBody>
    </xdr:sp>
    <xdr:clientData/>
  </xdr:oneCellAnchor>
  <xdr:twoCellAnchor>
    <xdr:from>
      <xdr:col>0</xdr:col>
      <xdr:colOff>114300</xdr:colOff>
      <xdr:row>85</xdr:row>
      <xdr:rowOff>123016</xdr:rowOff>
    </xdr:from>
    <xdr:to>
      <xdr:col>14</xdr:col>
      <xdr:colOff>228600</xdr:colOff>
      <xdr:row>87</xdr:row>
      <xdr:rowOff>151591</xdr:rowOff>
    </xdr:to>
    <xdr:grpSp>
      <xdr:nvGrpSpPr>
        <xdr:cNvPr id="6" name="Group 5"/>
        <xdr:cNvGrpSpPr/>
      </xdr:nvGrpSpPr>
      <xdr:grpSpPr>
        <a:xfrm>
          <a:off x="114300" y="17021487"/>
          <a:ext cx="8171329" cy="409575"/>
          <a:chOff x="609600" y="6362700"/>
          <a:chExt cx="9130939" cy="409575"/>
        </a:xfrm>
      </xdr:grpSpPr>
      <xdr:pic>
        <xdr:nvPicPr>
          <xdr:cNvPr id="7" name="Picture 6" descr="ces-footer-black"/>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6362700"/>
            <a:ext cx="9130939"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Box 7"/>
          <xdr:cNvSpPr txBox="1"/>
        </xdr:nvSpPr>
        <xdr:spPr>
          <a:xfrm>
            <a:off x="1666876" y="6545140"/>
            <a:ext cx="6810374"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700" b="0" i="0" u="none" strike="noStrike">
                <a:solidFill>
                  <a:schemeClr val="tx1"/>
                </a:solidFill>
                <a:effectLst/>
                <a:latin typeface="+mn-lt"/>
                <a:ea typeface="+mn-ea"/>
                <a:cs typeface="+mn-cs"/>
              </a:rPr>
              <a:t>Educational programs of Kentucky Cooperative Extension serve all people regardless of race, color, age, sex, religion, disability, or national origin.</a:t>
            </a:r>
            <a:r>
              <a:rPr lang="en-US" sz="700">
                <a:effectLst/>
              </a:rPr>
              <a:t> </a:t>
            </a:r>
            <a:endParaRPr lang="en-US" sz="700"/>
          </a:p>
        </xdr:txBody>
      </xdr:sp>
    </xdr:grpSp>
    <xdr:clientData/>
  </xdr:twoCellAnchor>
  <xdr:twoCellAnchor>
    <xdr:from>
      <xdr:col>0</xdr:col>
      <xdr:colOff>114300</xdr:colOff>
      <xdr:row>85</xdr:row>
      <xdr:rowOff>46816</xdr:rowOff>
    </xdr:from>
    <xdr:to>
      <xdr:col>2</xdr:col>
      <xdr:colOff>114300</xdr:colOff>
      <xdr:row>87</xdr:row>
      <xdr:rowOff>157128</xdr:rowOff>
    </xdr:to>
    <xdr:pic>
      <xdr:nvPicPr>
        <xdr:cNvPr id="9" name="Picture 1" descr="http://www.ca.uky.edu/MarketingResources/graphics/UKAgGraphics/UKAgExtension/UK286Extensionblk.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16820341"/>
          <a:ext cx="800100" cy="491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e.dvorak@uky.edu" TargetMode="External"/><Relationship Id="rId2" Type="http://schemas.openxmlformats.org/officeDocument/2006/relationships/hyperlink" Target="mailto:jordan.shockley@uky.edu" TargetMode="External"/><Relationship Id="rId1" Type="http://schemas.openxmlformats.org/officeDocument/2006/relationships/hyperlink" Target="mailto:sam.mcneill@uky.ed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19"/>
  <sheetViews>
    <sheetView tabSelected="1" zoomScaleNormal="100" workbookViewId="0">
      <selection activeCell="Q22" sqref="Q22"/>
    </sheetView>
  </sheetViews>
  <sheetFormatPr defaultRowHeight="15" x14ac:dyDescent="0.25"/>
  <cols>
    <col min="1" max="1" width="2.85546875" style="18" customWidth="1"/>
    <col min="2" max="5" width="9.140625" style="18"/>
    <col min="6" max="6" width="10.5703125" style="18" customWidth="1"/>
    <col min="7" max="7" width="9.140625" style="18"/>
    <col min="8" max="8" width="10.42578125" style="18" customWidth="1"/>
    <col min="9" max="9" width="11.28515625" style="18" customWidth="1"/>
    <col min="10" max="16384" width="9.140625" style="18"/>
  </cols>
  <sheetData>
    <row r="6" spans="2:13" ht="21" x14ac:dyDescent="0.35">
      <c r="B6" s="101" t="s">
        <v>31</v>
      </c>
      <c r="C6" s="101"/>
      <c r="D6" s="101"/>
      <c r="E6" s="101"/>
      <c r="F6" s="101"/>
      <c r="G6" s="101"/>
      <c r="H6" s="101"/>
      <c r="I6" s="101"/>
      <c r="J6" s="101"/>
      <c r="K6" s="101"/>
      <c r="L6" s="101"/>
      <c r="M6" s="101"/>
    </row>
    <row r="7" spans="2:13" ht="15" customHeight="1" x14ac:dyDescent="0.25">
      <c r="C7" s="102" t="s">
        <v>45</v>
      </c>
      <c r="D7" s="102"/>
      <c r="E7" s="102"/>
      <c r="F7" s="102"/>
      <c r="G7" s="102"/>
      <c r="H7" s="102"/>
      <c r="I7" s="102"/>
      <c r="J7" s="102"/>
      <c r="K7" s="102"/>
      <c r="L7" s="102"/>
      <c r="M7" s="102"/>
    </row>
    <row r="8" spans="2:13" x14ac:dyDescent="0.25">
      <c r="C8" s="102"/>
      <c r="D8" s="102"/>
      <c r="E8" s="102"/>
      <c r="F8" s="102"/>
      <c r="G8" s="102"/>
      <c r="H8" s="102"/>
      <c r="I8" s="102"/>
      <c r="J8" s="102"/>
      <c r="K8" s="102"/>
      <c r="L8" s="102"/>
      <c r="M8" s="102"/>
    </row>
    <row r="9" spans="2:13" x14ac:dyDescent="0.25">
      <c r="C9" s="102"/>
      <c r="D9" s="102"/>
      <c r="E9" s="102"/>
      <c r="F9" s="102"/>
      <c r="G9" s="102"/>
      <c r="H9" s="102"/>
      <c r="I9" s="102"/>
      <c r="J9" s="102"/>
      <c r="K9" s="102"/>
      <c r="L9" s="102"/>
      <c r="M9" s="102"/>
    </row>
    <row r="10" spans="2:13" x14ac:dyDescent="0.25">
      <c r="C10" s="102"/>
      <c r="D10" s="102"/>
      <c r="E10" s="102"/>
      <c r="F10" s="102"/>
      <c r="G10" s="102"/>
      <c r="H10" s="102"/>
      <c r="I10" s="102"/>
      <c r="J10" s="102"/>
      <c r="K10" s="102"/>
      <c r="L10" s="102"/>
      <c r="M10" s="102"/>
    </row>
    <row r="11" spans="2:13" x14ac:dyDescent="0.25">
      <c r="C11" s="102"/>
      <c r="D11" s="102"/>
      <c r="E11" s="102"/>
      <c r="F11" s="102"/>
      <c r="G11" s="102"/>
      <c r="H11" s="102"/>
      <c r="I11" s="102"/>
      <c r="J11" s="102"/>
      <c r="K11" s="102"/>
      <c r="L11" s="102"/>
      <c r="M11" s="102"/>
    </row>
    <row r="12" spans="2:13" ht="15.75" x14ac:dyDescent="0.25">
      <c r="C12" s="99" t="s">
        <v>44</v>
      </c>
      <c r="D12" s="99"/>
      <c r="E12" s="99"/>
      <c r="F12" s="99"/>
      <c r="G12" s="99"/>
      <c r="H12" s="99"/>
      <c r="I12" s="99"/>
      <c r="J12" s="99"/>
      <c r="K12" s="99"/>
      <c r="L12" s="99"/>
      <c r="M12" s="99"/>
    </row>
    <row r="13" spans="2:13" ht="18.75" customHeight="1" x14ac:dyDescent="0.25">
      <c r="C13" s="38" t="s">
        <v>33</v>
      </c>
      <c r="D13" s="38"/>
      <c r="E13" s="38"/>
      <c r="F13" s="38"/>
      <c r="G13" s="38" t="s">
        <v>55</v>
      </c>
      <c r="H13" s="38"/>
      <c r="I13" s="38"/>
      <c r="K13" s="38" t="s">
        <v>38</v>
      </c>
      <c r="L13" s="38"/>
      <c r="M13" s="38"/>
    </row>
    <row r="14" spans="2:13" ht="15.75" x14ac:dyDescent="0.25">
      <c r="C14" s="38" t="s">
        <v>135</v>
      </c>
      <c r="D14" s="38"/>
      <c r="E14" s="38"/>
      <c r="F14" s="38"/>
      <c r="G14" s="38" t="s">
        <v>32</v>
      </c>
      <c r="H14" s="38"/>
      <c r="I14" s="38"/>
      <c r="K14" s="38" t="s">
        <v>39</v>
      </c>
      <c r="L14" s="38"/>
      <c r="M14" s="38"/>
    </row>
    <row r="15" spans="2:13" ht="15.75" x14ac:dyDescent="0.25">
      <c r="C15" s="38" t="s">
        <v>34</v>
      </c>
      <c r="D15" s="38"/>
      <c r="E15" s="38"/>
      <c r="F15" s="38"/>
      <c r="G15" s="38" t="s">
        <v>40</v>
      </c>
      <c r="H15" s="38"/>
      <c r="I15" s="38"/>
      <c r="K15" s="38" t="s">
        <v>40</v>
      </c>
      <c r="L15" s="38"/>
      <c r="M15" s="38"/>
    </row>
    <row r="16" spans="2:13" ht="15.75" x14ac:dyDescent="0.25">
      <c r="C16" s="39" t="s">
        <v>35</v>
      </c>
      <c r="D16" s="38"/>
      <c r="E16" s="38"/>
      <c r="F16" s="38"/>
      <c r="G16" s="88" t="s">
        <v>127</v>
      </c>
      <c r="H16" s="38"/>
      <c r="I16" s="38"/>
      <c r="K16" s="39" t="s">
        <v>41</v>
      </c>
      <c r="L16" s="38"/>
      <c r="M16" s="38"/>
    </row>
    <row r="17" spans="3:13" ht="15.75" x14ac:dyDescent="0.25">
      <c r="C17" s="38" t="s">
        <v>37</v>
      </c>
      <c r="D17" s="38"/>
      <c r="E17" s="38"/>
      <c r="F17" s="38"/>
      <c r="G17" s="38" t="s">
        <v>36</v>
      </c>
      <c r="H17" s="38"/>
      <c r="I17" s="38"/>
      <c r="K17" s="38" t="s">
        <v>42</v>
      </c>
      <c r="L17" s="38"/>
      <c r="M17" s="38"/>
    </row>
    <row r="18" spans="3:13" ht="15" customHeight="1" x14ac:dyDescent="0.25"/>
    <row r="19" spans="3:13" ht="15.75" x14ac:dyDescent="0.25">
      <c r="C19" s="100" t="s">
        <v>136</v>
      </c>
      <c r="D19" s="100"/>
      <c r="E19" s="100"/>
      <c r="F19" s="100"/>
      <c r="G19" s="100"/>
      <c r="H19" s="100"/>
      <c r="I19" s="100"/>
      <c r="J19" s="100"/>
      <c r="K19" s="100"/>
      <c r="L19" s="100"/>
      <c r="M19" s="100"/>
    </row>
  </sheetData>
  <sheetProtection algorithmName="SHA-512" hashValue="4PDjnjMHrh18BTRPTlRT7pI+QJa86ahIqoZfgNmS5CjCZ7bkn/mVBjG5LIt9awXQuiEtqoqx7UGeHpVkK7qkQw==" saltValue="Wj3oOuORcjvVP2tdYaGRHA==" spinCount="100000" sheet="1" objects="1" scenarios="1"/>
  <mergeCells count="4">
    <mergeCell ref="C12:M12"/>
    <mergeCell ref="C19:M19"/>
    <mergeCell ref="B6:M6"/>
    <mergeCell ref="C7:M11"/>
  </mergeCells>
  <hyperlinks>
    <hyperlink ref="G16" r:id="rId1"/>
    <hyperlink ref="C16" r:id="rId2"/>
    <hyperlink ref="K16" r:id="rId3"/>
  </hyperlinks>
  <pageMargins left="0.7" right="0.7" top="0.75" bottom="0.75" header="0.3" footer="0.3"/>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T49"/>
  <sheetViews>
    <sheetView zoomScaleNormal="100" workbookViewId="0"/>
  </sheetViews>
  <sheetFormatPr defaultRowHeight="15" x14ac:dyDescent="0.25"/>
  <cols>
    <col min="1" max="1" width="2.85546875" style="18" customWidth="1"/>
    <col min="2" max="2" width="10.140625" style="18" customWidth="1"/>
    <col min="3" max="16384" width="9.140625" style="18"/>
  </cols>
  <sheetData>
    <row r="7" spans="2:20" ht="15.75" x14ac:dyDescent="0.25">
      <c r="B7" s="67" t="s">
        <v>85</v>
      </c>
      <c r="C7" s="68"/>
      <c r="D7" s="68"/>
      <c r="E7" s="68"/>
      <c r="F7" s="68"/>
      <c r="G7" s="68"/>
      <c r="H7" s="68"/>
      <c r="I7" s="68"/>
      <c r="J7" s="68"/>
      <c r="K7" s="68"/>
      <c r="L7" s="68"/>
      <c r="M7" s="68"/>
      <c r="N7" s="68"/>
    </row>
    <row r="8" spans="2:20" ht="15.75" x14ac:dyDescent="0.25">
      <c r="B8" s="69" t="s">
        <v>86</v>
      </c>
      <c r="C8" s="70"/>
      <c r="D8" s="68"/>
      <c r="E8" s="68"/>
      <c r="F8" s="68"/>
      <c r="G8" s="68"/>
      <c r="H8" s="68"/>
      <c r="I8" s="68"/>
      <c r="J8" s="68"/>
      <c r="K8" s="68"/>
      <c r="L8" s="68"/>
      <c r="M8" s="68"/>
      <c r="N8" s="68"/>
    </row>
    <row r="9" spans="2:20" ht="15" customHeight="1" x14ac:dyDescent="0.25">
      <c r="B9" s="67" t="s">
        <v>87</v>
      </c>
      <c r="C9" s="71"/>
      <c r="D9" s="71"/>
      <c r="E9" s="71"/>
      <c r="F9" s="71"/>
      <c r="G9" s="71"/>
      <c r="H9" s="71"/>
      <c r="I9" s="71"/>
      <c r="J9" s="71"/>
      <c r="K9" s="71"/>
      <c r="L9" s="71"/>
      <c r="M9" s="71"/>
      <c r="N9" s="38"/>
    </row>
    <row r="10" spans="2:20" ht="15" customHeight="1" x14ac:dyDescent="0.25">
      <c r="B10" s="72" t="s">
        <v>88</v>
      </c>
      <c r="C10" s="73"/>
      <c r="D10" s="71"/>
      <c r="E10" s="71"/>
      <c r="F10" s="71"/>
      <c r="G10" s="71"/>
      <c r="H10" s="71"/>
      <c r="I10" s="71"/>
      <c r="J10" s="71"/>
      <c r="K10" s="71"/>
      <c r="L10" s="71"/>
      <c r="M10" s="71"/>
      <c r="N10" s="38"/>
    </row>
    <row r="11" spans="2:20" ht="15" customHeight="1" x14ac:dyDescent="0.25">
      <c r="B11" s="67" t="s">
        <v>89</v>
      </c>
      <c r="C11" s="73"/>
      <c r="D11" s="71"/>
      <c r="E11" s="71"/>
      <c r="F11" s="71"/>
      <c r="G11" s="71"/>
      <c r="H11" s="71"/>
      <c r="I11" s="71"/>
      <c r="J11" s="71"/>
      <c r="K11" s="71"/>
      <c r="L11" s="71"/>
      <c r="M11" s="71"/>
      <c r="N11" s="38"/>
    </row>
    <row r="12" spans="2:20" ht="15" customHeight="1" x14ac:dyDescent="0.25">
      <c r="B12" s="72" t="s">
        <v>90</v>
      </c>
      <c r="C12" s="73"/>
      <c r="D12" s="71"/>
      <c r="E12" s="71"/>
      <c r="F12" s="71"/>
      <c r="G12" s="71"/>
      <c r="H12" s="71"/>
      <c r="I12" s="71"/>
      <c r="J12" s="71"/>
      <c r="K12" s="71"/>
      <c r="L12" s="71"/>
      <c r="M12" s="71"/>
      <c r="N12" s="38"/>
    </row>
    <row r="13" spans="2:20" ht="15.75" x14ac:dyDescent="0.25">
      <c r="B13" s="72" t="s">
        <v>91</v>
      </c>
      <c r="C13" s="74"/>
      <c r="D13" s="71"/>
      <c r="E13" s="71"/>
      <c r="F13" s="71"/>
      <c r="G13" s="71"/>
      <c r="H13" s="71"/>
      <c r="I13" s="71"/>
      <c r="J13" s="71"/>
      <c r="K13" s="71"/>
      <c r="L13" s="71"/>
      <c r="M13" s="71"/>
      <c r="N13" s="38"/>
    </row>
    <row r="14" spans="2:20" ht="15.75" customHeight="1" x14ac:dyDescent="0.25">
      <c r="B14" s="104" t="s">
        <v>132</v>
      </c>
      <c r="C14" s="104"/>
      <c r="D14" s="104"/>
      <c r="E14" s="104"/>
      <c r="F14" s="104"/>
      <c r="G14" s="104"/>
      <c r="H14" s="104"/>
      <c r="I14" s="104"/>
      <c r="J14" s="104"/>
      <c r="K14" s="104"/>
      <c r="L14" s="104"/>
      <c r="M14" s="104"/>
      <c r="N14" s="104"/>
      <c r="O14" s="104"/>
      <c r="P14" s="104"/>
      <c r="Q14" s="104"/>
      <c r="R14" s="104"/>
      <c r="S14" s="104"/>
      <c r="T14" s="104"/>
    </row>
    <row r="15" spans="2:20" ht="33" customHeight="1" x14ac:dyDescent="0.25">
      <c r="B15" s="104"/>
      <c r="C15" s="104"/>
      <c r="D15" s="104"/>
      <c r="E15" s="104"/>
      <c r="F15" s="104"/>
      <c r="G15" s="104"/>
      <c r="H15" s="104"/>
      <c r="I15" s="104"/>
      <c r="J15" s="104"/>
      <c r="K15" s="104"/>
      <c r="L15" s="104"/>
      <c r="M15" s="104"/>
      <c r="N15" s="104"/>
      <c r="O15" s="104"/>
      <c r="P15" s="104"/>
      <c r="Q15" s="104"/>
      <c r="R15" s="104"/>
      <c r="S15" s="104"/>
      <c r="T15" s="104"/>
    </row>
    <row r="16" spans="2:20" ht="15.75" x14ac:dyDescent="0.25">
      <c r="B16" s="72" t="s">
        <v>92</v>
      </c>
      <c r="C16" s="73"/>
      <c r="D16" s="71"/>
      <c r="E16" s="71"/>
      <c r="F16" s="71"/>
      <c r="G16" s="71"/>
      <c r="H16" s="71"/>
      <c r="I16" s="71"/>
      <c r="J16" s="71"/>
      <c r="K16" s="71"/>
      <c r="L16" s="71"/>
      <c r="M16" s="71"/>
      <c r="N16" s="38"/>
    </row>
    <row r="17" spans="2:20" ht="15.75" x14ac:dyDescent="0.25">
      <c r="B17" s="72" t="s">
        <v>93</v>
      </c>
      <c r="C17" s="73"/>
      <c r="D17" s="71"/>
      <c r="E17" s="71"/>
      <c r="F17" s="71"/>
      <c r="G17" s="71"/>
      <c r="H17" s="71"/>
      <c r="I17" s="71"/>
      <c r="J17" s="71"/>
      <c r="K17" s="71"/>
      <c r="L17" s="71"/>
      <c r="M17" s="71"/>
      <c r="N17" s="38"/>
    </row>
    <row r="18" spans="2:20" ht="15.75" x14ac:dyDescent="0.25">
      <c r="B18" s="72" t="s">
        <v>94</v>
      </c>
      <c r="D18" s="71"/>
      <c r="E18" s="71"/>
      <c r="F18" s="71"/>
      <c r="G18" s="71"/>
      <c r="H18" s="71"/>
      <c r="I18" s="71"/>
      <c r="J18" s="71"/>
      <c r="K18" s="71"/>
      <c r="L18" s="71"/>
      <c r="M18" s="71"/>
      <c r="N18" s="38"/>
    </row>
    <row r="19" spans="2:20" ht="15.75" x14ac:dyDescent="0.25">
      <c r="B19" s="72" t="s">
        <v>95</v>
      </c>
      <c r="C19" s="71"/>
      <c r="D19" s="71"/>
      <c r="E19" s="71"/>
      <c r="F19" s="71"/>
      <c r="G19" s="71"/>
      <c r="H19" s="71"/>
      <c r="I19" s="71"/>
      <c r="J19" s="71"/>
      <c r="K19" s="71"/>
      <c r="L19" s="71"/>
      <c r="M19" s="71"/>
      <c r="N19" s="38"/>
    </row>
    <row r="20" spans="2:20" ht="15.75" x14ac:dyDescent="0.25">
      <c r="B20" s="67" t="s">
        <v>96</v>
      </c>
      <c r="D20" s="71"/>
      <c r="E20" s="71"/>
      <c r="F20" s="71"/>
      <c r="G20" s="71"/>
      <c r="H20" s="71"/>
      <c r="I20" s="71"/>
      <c r="J20" s="71"/>
      <c r="K20" s="71"/>
      <c r="L20" s="71"/>
      <c r="M20" s="71"/>
      <c r="N20" s="38"/>
    </row>
    <row r="21" spans="2:20" ht="15.75" customHeight="1" x14ac:dyDescent="0.25">
      <c r="B21" s="105" t="s">
        <v>97</v>
      </c>
      <c r="C21" s="105"/>
      <c r="D21" s="105"/>
      <c r="E21" s="105"/>
      <c r="F21" s="105"/>
      <c r="G21" s="105"/>
      <c r="H21" s="105"/>
      <c r="I21" s="105"/>
      <c r="J21" s="105"/>
      <c r="K21" s="105"/>
      <c r="L21" s="105"/>
      <c r="M21" s="105"/>
      <c r="N21" s="105"/>
      <c r="O21" s="105"/>
      <c r="P21" s="105"/>
      <c r="Q21" s="105"/>
      <c r="R21" s="105"/>
      <c r="S21" s="105"/>
      <c r="T21" s="105"/>
    </row>
    <row r="22" spans="2:20" ht="15.75" customHeight="1" x14ac:dyDescent="0.25">
      <c r="B22" s="105"/>
      <c r="C22" s="105"/>
      <c r="D22" s="105"/>
      <c r="E22" s="105"/>
      <c r="F22" s="105"/>
      <c r="G22" s="105"/>
      <c r="H22" s="105"/>
      <c r="I22" s="105"/>
      <c r="J22" s="105"/>
      <c r="K22" s="105"/>
      <c r="L22" s="105"/>
      <c r="M22" s="105"/>
      <c r="N22" s="105"/>
      <c r="O22" s="105"/>
      <c r="P22" s="105"/>
      <c r="Q22" s="105"/>
      <c r="R22" s="105"/>
      <c r="S22" s="105"/>
      <c r="T22" s="105"/>
    </row>
    <row r="23" spans="2:20" ht="15.75" x14ac:dyDescent="0.25">
      <c r="B23" s="72" t="s">
        <v>98</v>
      </c>
      <c r="C23" s="73"/>
      <c r="D23" s="73"/>
      <c r="E23" s="73"/>
      <c r="F23" s="73"/>
      <c r="G23" s="73"/>
      <c r="H23" s="73"/>
      <c r="I23" s="73"/>
      <c r="J23" s="73"/>
      <c r="K23" s="73"/>
      <c r="L23" s="73"/>
      <c r="M23" s="73"/>
      <c r="N23" s="73"/>
    </row>
    <row r="24" spans="2:20" x14ac:dyDescent="0.25">
      <c r="B24" s="67" t="s">
        <v>99</v>
      </c>
      <c r="C24" s="75"/>
      <c r="D24" s="61"/>
      <c r="E24" s="61"/>
      <c r="F24" s="61"/>
      <c r="G24" s="61"/>
      <c r="H24" s="61"/>
      <c r="I24" s="61"/>
      <c r="J24" s="61"/>
      <c r="K24" s="61"/>
      <c r="L24" s="61"/>
      <c r="M24" s="61"/>
      <c r="N24" s="61"/>
    </row>
    <row r="25" spans="2:20" x14ac:dyDescent="0.25">
      <c r="B25" s="103" t="s">
        <v>100</v>
      </c>
      <c r="C25" s="103"/>
      <c r="D25" s="103"/>
      <c r="E25" s="103"/>
      <c r="F25" s="103"/>
      <c r="G25" s="103"/>
      <c r="H25" s="103"/>
      <c r="I25" s="103"/>
      <c r="J25" s="103"/>
      <c r="K25" s="103"/>
      <c r="L25" s="103"/>
      <c r="M25" s="103"/>
      <c r="N25" s="103"/>
      <c r="O25" s="103"/>
      <c r="P25" s="103"/>
      <c r="Q25" s="103"/>
      <c r="R25" s="103"/>
      <c r="S25" s="103"/>
      <c r="T25" s="103"/>
    </row>
    <row r="26" spans="2:20" x14ac:dyDescent="0.25">
      <c r="B26" s="103"/>
      <c r="C26" s="103"/>
      <c r="D26" s="103"/>
      <c r="E26" s="103"/>
      <c r="F26" s="103"/>
      <c r="G26" s="103"/>
      <c r="H26" s="103"/>
      <c r="I26" s="103"/>
      <c r="J26" s="103"/>
      <c r="K26" s="103"/>
      <c r="L26" s="103"/>
      <c r="M26" s="103"/>
      <c r="N26" s="103"/>
      <c r="O26" s="103"/>
      <c r="P26" s="103"/>
      <c r="Q26" s="103"/>
      <c r="R26" s="103"/>
      <c r="S26" s="103"/>
      <c r="T26" s="103"/>
    </row>
    <row r="27" spans="2:20" x14ac:dyDescent="0.25">
      <c r="B27" s="72" t="s">
        <v>101</v>
      </c>
      <c r="C27" s="75"/>
      <c r="D27" s="61"/>
      <c r="E27" s="61"/>
      <c r="F27" s="61"/>
      <c r="G27" s="61"/>
      <c r="H27" s="61"/>
      <c r="I27" s="61"/>
      <c r="J27" s="61"/>
      <c r="K27" s="61"/>
      <c r="L27" s="61"/>
      <c r="M27" s="61"/>
      <c r="N27" s="61"/>
    </row>
    <row r="28" spans="2:20" x14ac:dyDescent="0.25">
      <c r="B28" s="76" t="s">
        <v>102</v>
      </c>
      <c r="C28" s="75"/>
      <c r="D28" s="61"/>
      <c r="E28" s="61"/>
      <c r="F28" s="61"/>
      <c r="G28" s="61"/>
      <c r="H28" s="61"/>
      <c r="I28" s="61"/>
      <c r="J28" s="61"/>
      <c r="K28" s="61"/>
      <c r="L28" s="61"/>
      <c r="M28" s="61"/>
      <c r="N28" s="61"/>
    </row>
    <row r="29" spans="2:20" x14ac:dyDescent="0.25">
      <c r="B29" s="77" t="s">
        <v>103</v>
      </c>
      <c r="C29" s="75"/>
      <c r="D29" s="61"/>
      <c r="E29" s="61"/>
      <c r="F29" s="61"/>
      <c r="G29" s="61"/>
      <c r="H29" s="61"/>
      <c r="I29" s="61"/>
      <c r="J29" s="61"/>
      <c r="K29" s="61"/>
      <c r="L29" s="61"/>
      <c r="M29" s="61"/>
      <c r="N29" s="61"/>
    </row>
    <row r="30" spans="2:20" x14ac:dyDescent="0.25">
      <c r="B30" s="78" t="s">
        <v>104</v>
      </c>
      <c r="C30" s="75"/>
      <c r="D30" s="61"/>
      <c r="E30" s="61"/>
      <c r="F30" s="61"/>
      <c r="G30" s="61"/>
      <c r="H30" s="61"/>
      <c r="I30" s="61"/>
      <c r="J30" s="61"/>
      <c r="K30" s="61"/>
      <c r="L30" s="61"/>
      <c r="M30" s="61"/>
      <c r="N30" s="61"/>
    </row>
    <row r="31" spans="2:20" x14ac:dyDescent="0.25">
      <c r="B31" s="76" t="s">
        <v>105</v>
      </c>
      <c r="C31" s="75"/>
      <c r="D31" s="61"/>
      <c r="E31" s="61"/>
      <c r="F31" s="61"/>
      <c r="G31" s="61"/>
      <c r="H31" s="61"/>
      <c r="I31" s="61"/>
      <c r="J31" s="61"/>
      <c r="K31" s="61"/>
      <c r="L31" s="61"/>
      <c r="M31" s="61"/>
      <c r="N31" s="61"/>
    </row>
    <row r="32" spans="2:20" x14ac:dyDescent="0.25">
      <c r="B32" s="78" t="s">
        <v>106</v>
      </c>
      <c r="C32" s="79"/>
      <c r="D32" s="80"/>
      <c r="E32" s="80"/>
      <c r="F32" s="80"/>
      <c r="G32" s="80"/>
      <c r="H32" s="80"/>
      <c r="I32" s="80"/>
      <c r="J32" s="80"/>
      <c r="K32" s="80"/>
      <c r="L32" s="80"/>
      <c r="M32" s="80"/>
      <c r="N32" s="80"/>
      <c r="O32" s="80"/>
    </row>
    <row r="33" spans="2:20" x14ac:dyDescent="0.25">
      <c r="B33" s="78" t="s">
        <v>107</v>
      </c>
      <c r="C33" s="75"/>
      <c r="D33" s="61"/>
      <c r="E33" s="61"/>
      <c r="F33" s="61"/>
      <c r="G33" s="61"/>
      <c r="H33" s="61"/>
      <c r="I33" s="61"/>
      <c r="J33" s="61"/>
      <c r="K33" s="61"/>
      <c r="L33" s="61"/>
      <c r="M33" s="61"/>
      <c r="N33" s="61"/>
    </row>
    <row r="34" spans="2:20" x14ac:dyDescent="0.25">
      <c r="B34" s="76" t="s">
        <v>108</v>
      </c>
      <c r="C34" s="75"/>
      <c r="D34" s="61"/>
      <c r="E34" s="61"/>
      <c r="F34" s="61"/>
      <c r="G34" s="61"/>
      <c r="H34" s="61"/>
      <c r="I34" s="61"/>
      <c r="J34" s="61"/>
      <c r="K34" s="61"/>
      <c r="L34" s="61"/>
      <c r="M34" s="61"/>
      <c r="N34" s="61"/>
    </row>
    <row r="35" spans="2:20" ht="15.75" x14ac:dyDescent="0.25">
      <c r="B35" s="78" t="s">
        <v>109</v>
      </c>
      <c r="C35" s="73"/>
      <c r="D35" s="71"/>
      <c r="E35" s="71"/>
      <c r="F35" s="71"/>
      <c r="G35" s="71"/>
      <c r="H35" s="71"/>
      <c r="I35" s="71"/>
      <c r="J35" s="71"/>
      <c r="K35" s="71"/>
      <c r="L35" s="71"/>
      <c r="M35" s="71"/>
      <c r="N35" s="38"/>
    </row>
    <row r="36" spans="2:20" ht="15.75" x14ac:dyDescent="0.25">
      <c r="B36" s="78" t="s">
        <v>110</v>
      </c>
      <c r="C36" s="73"/>
      <c r="D36" s="71"/>
      <c r="E36" s="71"/>
      <c r="F36" s="71"/>
      <c r="G36" s="71"/>
      <c r="H36" s="71"/>
      <c r="I36" s="71"/>
      <c r="J36" s="71"/>
      <c r="K36" s="71"/>
      <c r="L36" s="71"/>
      <c r="M36" s="71"/>
      <c r="N36" s="38"/>
    </row>
    <row r="37" spans="2:20" ht="15.75" x14ac:dyDescent="0.25">
      <c r="B37" s="67" t="s">
        <v>111</v>
      </c>
      <c r="C37" s="73"/>
      <c r="D37" s="73"/>
      <c r="E37" s="73"/>
      <c r="F37" s="73"/>
      <c r="G37" s="73"/>
      <c r="H37" s="73"/>
      <c r="I37" s="73"/>
      <c r="J37" s="73"/>
      <c r="K37" s="73"/>
      <c r="L37" s="73"/>
      <c r="M37" s="73"/>
      <c r="N37" s="73"/>
    </row>
    <row r="38" spans="2:20" ht="15.75" x14ac:dyDescent="0.25">
      <c r="B38" s="72" t="s">
        <v>112</v>
      </c>
      <c r="C38" s="73"/>
      <c r="D38" s="71"/>
      <c r="E38" s="71"/>
      <c r="F38" s="71"/>
      <c r="G38" s="71"/>
      <c r="H38" s="71"/>
      <c r="I38" s="71"/>
      <c r="J38" s="71"/>
      <c r="K38" s="71"/>
      <c r="L38" s="71"/>
      <c r="M38" s="71"/>
      <c r="N38" s="38"/>
    </row>
    <row r="39" spans="2:20" ht="15.75" x14ac:dyDescent="0.25">
      <c r="B39" s="72" t="s">
        <v>113</v>
      </c>
      <c r="C39" s="73"/>
      <c r="D39" s="71"/>
      <c r="E39" s="71"/>
      <c r="F39" s="71"/>
      <c r="G39" s="71"/>
      <c r="H39" s="71"/>
      <c r="I39" s="71"/>
      <c r="J39" s="71"/>
      <c r="K39" s="71"/>
      <c r="L39" s="71"/>
      <c r="M39" s="71"/>
      <c r="N39" s="38"/>
    </row>
    <row r="40" spans="2:20" ht="15.75" customHeight="1" x14ac:dyDescent="0.25">
      <c r="B40" s="103" t="s">
        <v>114</v>
      </c>
      <c r="C40" s="103"/>
      <c r="D40" s="103"/>
      <c r="E40" s="103"/>
      <c r="F40" s="103"/>
      <c r="G40" s="103"/>
      <c r="H40" s="103"/>
      <c r="I40" s="103"/>
      <c r="J40" s="103"/>
      <c r="K40" s="103"/>
      <c r="L40" s="103"/>
      <c r="M40" s="103"/>
      <c r="N40" s="103"/>
      <c r="O40" s="103"/>
      <c r="P40" s="103"/>
      <c r="Q40" s="103"/>
      <c r="R40" s="103"/>
      <c r="S40" s="103"/>
      <c r="T40" s="103"/>
    </row>
    <row r="41" spans="2:20" ht="15.75" customHeight="1" x14ac:dyDescent="0.25">
      <c r="B41" s="103"/>
      <c r="C41" s="103"/>
      <c r="D41" s="103"/>
      <c r="E41" s="103"/>
      <c r="F41" s="103"/>
      <c r="G41" s="103"/>
      <c r="H41" s="103"/>
      <c r="I41" s="103"/>
      <c r="J41" s="103"/>
      <c r="K41" s="103"/>
      <c r="L41" s="103"/>
      <c r="M41" s="103"/>
      <c r="N41" s="103"/>
      <c r="O41" s="103"/>
      <c r="P41" s="103"/>
      <c r="Q41" s="103"/>
      <c r="R41" s="103"/>
      <c r="S41" s="103"/>
      <c r="T41" s="103"/>
    </row>
    <row r="42" spans="2:20" ht="15.75" x14ac:dyDescent="0.25">
      <c r="B42" s="72" t="s">
        <v>115</v>
      </c>
      <c r="C42" s="73"/>
      <c r="D42" s="73"/>
      <c r="E42" s="73"/>
      <c r="F42" s="73"/>
      <c r="G42" s="73"/>
      <c r="H42" s="73"/>
      <c r="I42" s="73"/>
      <c r="J42" s="73"/>
      <c r="K42" s="73"/>
      <c r="L42" s="73"/>
      <c r="M42" s="73"/>
      <c r="N42" s="73"/>
    </row>
    <row r="43" spans="2:20" ht="15.75" x14ac:dyDescent="0.25">
      <c r="B43" s="67" t="s">
        <v>116</v>
      </c>
      <c r="C43" s="73"/>
      <c r="D43" s="73"/>
      <c r="E43" s="73"/>
      <c r="F43" s="73"/>
      <c r="G43" s="73"/>
      <c r="H43" s="73"/>
      <c r="I43" s="73"/>
      <c r="J43" s="73"/>
      <c r="K43" s="73"/>
      <c r="L43" s="73"/>
      <c r="M43" s="73"/>
      <c r="N43" s="73"/>
    </row>
    <row r="44" spans="2:20" ht="15.75" customHeight="1" x14ac:dyDescent="0.25">
      <c r="B44" s="103" t="s">
        <v>117</v>
      </c>
      <c r="C44" s="103"/>
      <c r="D44" s="103"/>
      <c r="E44" s="103"/>
      <c r="F44" s="103"/>
      <c r="G44" s="103"/>
      <c r="H44" s="103"/>
      <c r="I44" s="103"/>
      <c r="J44" s="103"/>
      <c r="K44" s="103"/>
      <c r="L44" s="103"/>
      <c r="M44" s="103"/>
      <c r="N44" s="103"/>
      <c r="O44" s="103"/>
      <c r="P44" s="103"/>
      <c r="Q44" s="103"/>
      <c r="R44" s="103"/>
      <c r="S44" s="103"/>
      <c r="T44" s="103"/>
    </row>
    <row r="45" spans="2:20" ht="15.75" customHeight="1" x14ac:dyDescent="0.25">
      <c r="B45" s="103"/>
      <c r="C45" s="103"/>
      <c r="D45" s="103"/>
      <c r="E45" s="103"/>
      <c r="F45" s="103"/>
      <c r="G45" s="103"/>
      <c r="H45" s="103"/>
      <c r="I45" s="103"/>
      <c r="J45" s="103"/>
      <c r="K45" s="103"/>
      <c r="L45" s="103"/>
      <c r="M45" s="103"/>
      <c r="N45" s="103"/>
      <c r="O45" s="103"/>
      <c r="P45" s="103"/>
      <c r="Q45" s="103"/>
      <c r="R45" s="103"/>
      <c r="S45" s="103"/>
      <c r="T45" s="103"/>
    </row>
    <row r="46" spans="2:20" x14ac:dyDescent="0.25">
      <c r="B46" s="103" t="s">
        <v>118</v>
      </c>
      <c r="C46" s="103"/>
      <c r="D46" s="103"/>
      <c r="E46" s="103"/>
      <c r="F46" s="103"/>
      <c r="G46" s="103"/>
      <c r="H46" s="103"/>
      <c r="I46" s="103"/>
      <c r="J46" s="103"/>
      <c r="K46" s="103"/>
      <c r="L46" s="103"/>
      <c r="M46" s="103"/>
      <c r="N46" s="103"/>
      <c r="O46" s="103"/>
      <c r="P46" s="103"/>
      <c r="Q46" s="103"/>
      <c r="R46" s="103"/>
      <c r="S46" s="103"/>
      <c r="T46" s="103"/>
    </row>
    <row r="47" spans="2:20" x14ac:dyDescent="0.25">
      <c r="B47" s="103"/>
      <c r="C47" s="103"/>
      <c r="D47" s="103"/>
      <c r="E47" s="103"/>
      <c r="F47" s="103"/>
      <c r="G47" s="103"/>
      <c r="H47" s="103"/>
      <c r="I47" s="103"/>
      <c r="J47" s="103"/>
      <c r="K47" s="103"/>
      <c r="L47" s="103"/>
      <c r="M47" s="103"/>
      <c r="N47" s="103"/>
      <c r="O47" s="103"/>
      <c r="P47" s="103"/>
      <c r="Q47" s="103"/>
      <c r="R47" s="103"/>
      <c r="S47" s="103"/>
      <c r="T47" s="103"/>
    </row>
    <row r="48" spans="2:20" x14ac:dyDescent="0.25">
      <c r="B48" s="81" t="s">
        <v>119</v>
      </c>
    </row>
    <row r="49" spans="2:2" x14ac:dyDescent="0.25">
      <c r="B49" s="72" t="s">
        <v>120</v>
      </c>
    </row>
  </sheetData>
  <sheetProtection algorithmName="SHA-512" hashValue="eLwOEmTfvsBN40rhQXdvrgNQIht1WO8IMvSNF/lTiyogaHhIzQb3pZTfYhQSvwiUWQOQAb4qC9DcD4Y2fEBQ5Q==" saltValue="ymFr+YvyJVgjS7R/giSOAQ==" spinCount="100000" sheet="1" objects="1" scenarios="1"/>
  <mergeCells count="6">
    <mergeCell ref="B46:T47"/>
    <mergeCell ref="B14:T15"/>
    <mergeCell ref="B21:T22"/>
    <mergeCell ref="B25:T26"/>
    <mergeCell ref="B40:T41"/>
    <mergeCell ref="B44:T45"/>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L52"/>
  <sheetViews>
    <sheetView zoomScale="85" zoomScaleNormal="85" workbookViewId="0">
      <selection activeCell="D18" sqref="D18"/>
    </sheetView>
  </sheetViews>
  <sheetFormatPr defaultRowHeight="15" x14ac:dyDescent="0.25"/>
  <cols>
    <col min="1" max="1" width="2.85546875" style="18" customWidth="1"/>
    <col min="2" max="2" width="18.140625" style="18" customWidth="1"/>
    <col min="3" max="3" width="14.140625" style="18" bestFit="1" customWidth="1"/>
    <col min="4" max="4" width="28.7109375" style="18" customWidth="1"/>
    <col min="5" max="5" width="18.140625" style="18" customWidth="1"/>
    <col min="6" max="6" width="16.42578125" style="18" bestFit="1" customWidth="1"/>
    <col min="7" max="7" width="14.85546875" style="18" customWidth="1"/>
    <col min="8" max="8" width="12.140625" style="18" customWidth="1"/>
    <col min="9" max="9" width="14.140625" style="18" bestFit="1" customWidth="1"/>
    <col min="10" max="11" width="10.7109375" style="18" customWidth="1"/>
    <col min="12" max="12" width="9.140625" style="18"/>
    <col min="13" max="13" width="20.140625" style="18" bestFit="1" customWidth="1"/>
    <col min="14" max="16384" width="9.140625" style="18"/>
  </cols>
  <sheetData>
    <row r="4" spans="2:12" x14ac:dyDescent="0.25">
      <c r="B4" s="89" t="s">
        <v>129</v>
      </c>
    </row>
    <row r="6" spans="2:12" x14ac:dyDescent="0.25">
      <c r="B6" s="25" t="s">
        <v>51</v>
      </c>
      <c r="C6" s="55"/>
      <c r="D6" s="112" t="s">
        <v>24</v>
      </c>
      <c r="E6" s="114"/>
      <c r="F6" s="42"/>
    </row>
    <row r="7" spans="2:12" x14ac:dyDescent="0.25">
      <c r="B7" s="120" t="s">
        <v>122</v>
      </c>
      <c r="C7" s="41"/>
      <c r="D7" s="118" t="s">
        <v>5</v>
      </c>
      <c r="E7" s="121">
        <v>12.5</v>
      </c>
    </row>
    <row r="8" spans="2:12" x14ac:dyDescent="0.25">
      <c r="B8" s="120" t="s">
        <v>123</v>
      </c>
      <c r="C8" s="41"/>
      <c r="D8" s="118" t="s">
        <v>4</v>
      </c>
      <c r="E8" s="121">
        <v>2.5</v>
      </c>
      <c r="F8" s="41"/>
    </row>
    <row r="9" spans="2:12" x14ac:dyDescent="0.25">
      <c r="B9" s="120" t="s">
        <v>124</v>
      </c>
      <c r="C9" s="41"/>
      <c r="D9" s="118" t="s">
        <v>133</v>
      </c>
      <c r="E9" s="121">
        <v>0.3</v>
      </c>
      <c r="G9" s="92"/>
      <c r="H9" s="45"/>
    </row>
    <row r="10" spans="2:12" x14ac:dyDescent="0.25">
      <c r="D10" s="119" t="s">
        <v>57</v>
      </c>
      <c r="E10" s="122">
        <v>6</v>
      </c>
      <c r="F10" s="40"/>
    </row>
    <row r="11" spans="2:12" x14ac:dyDescent="0.25">
      <c r="D11" s="119" t="s">
        <v>56</v>
      </c>
      <c r="E11" s="122">
        <v>45</v>
      </c>
      <c r="F11" s="40"/>
    </row>
    <row r="12" spans="2:12" x14ac:dyDescent="0.25">
      <c r="D12" s="118" t="s">
        <v>3</v>
      </c>
      <c r="E12" s="120">
        <v>950</v>
      </c>
      <c r="F12" s="40"/>
    </row>
    <row r="13" spans="2:12" x14ac:dyDescent="0.25">
      <c r="D13" s="119" t="s">
        <v>128</v>
      </c>
      <c r="E13" s="123">
        <v>0.16500000000000001</v>
      </c>
      <c r="F13" s="40"/>
    </row>
    <row r="14" spans="2:12" x14ac:dyDescent="0.25">
      <c r="D14" s="57"/>
      <c r="E14" s="58"/>
      <c r="F14" s="40"/>
    </row>
    <row r="15" spans="2:12" x14ac:dyDescent="0.25">
      <c r="B15" s="112" t="s">
        <v>46</v>
      </c>
      <c r="C15" s="113"/>
      <c r="D15" s="113"/>
      <c r="E15" s="114"/>
      <c r="F15" s="42"/>
      <c r="G15" s="42"/>
      <c r="I15" s="42"/>
      <c r="J15" s="42"/>
      <c r="K15" s="42"/>
      <c r="L15" s="45"/>
    </row>
    <row r="16" spans="2:12" ht="30" x14ac:dyDescent="0.25">
      <c r="B16" s="53"/>
      <c r="C16" s="53" t="s">
        <v>48</v>
      </c>
      <c r="D16" s="53" t="s">
        <v>11</v>
      </c>
      <c r="E16" s="53" t="s">
        <v>23</v>
      </c>
      <c r="G16" s="42"/>
      <c r="H16" s="42"/>
    </row>
    <row r="17" spans="2:11" x14ac:dyDescent="0.25">
      <c r="B17" s="47" t="str">
        <f>B7</f>
        <v>Buyer 1</v>
      </c>
      <c r="C17" s="120">
        <v>45</v>
      </c>
      <c r="D17" s="120">
        <v>15</v>
      </c>
      <c r="E17" s="124">
        <v>3.85</v>
      </c>
      <c r="H17" s="22"/>
    </row>
    <row r="18" spans="2:11" x14ac:dyDescent="0.25">
      <c r="B18" s="47" t="str">
        <f>B8</f>
        <v>Buyer 2</v>
      </c>
      <c r="C18" s="120">
        <v>75</v>
      </c>
      <c r="D18" s="120">
        <v>15</v>
      </c>
      <c r="E18" s="124">
        <v>3.85</v>
      </c>
      <c r="H18" s="22"/>
    </row>
    <row r="19" spans="2:11" x14ac:dyDescent="0.25">
      <c r="B19" s="47" t="str">
        <f>IF(B9="","",B9)</f>
        <v>Buyer 3</v>
      </c>
      <c r="C19" s="120">
        <v>60</v>
      </c>
      <c r="D19" s="120">
        <v>15</v>
      </c>
      <c r="E19" s="124">
        <v>3.85</v>
      </c>
      <c r="H19" s="22"/>
    </row>
    <row r="20" spans="2:11" x14ac:dyDescent="0.25">
      <c r="B20" s="41"/>
      <c r="C20" s="41"/>
      <c r="D20" s="41"/>
      <c r="E20" s="43"/>
      <c r="F20" s="44"/>
      <c r="G20" s="41"/>
      <c r="H20" s="45"/>
      <c r="I20" s="40"/>
      <c r="J20" s="45"/>
      <c r="K20" s="46"/>
    </row>
    <row r="21" spans="2:11" x14ac:dyDescent="0.25">
      <c r="B21" s="109" t="s">
        <v>47</v>
      </c>
      <c r="C21" s="110"/>
      <c r="D21" s="110"/>
      <c r="E21" s="110"/>
      <c r="F21" s="110"/>
      <c r="G21" s="110"/>
      <c r="H21" s="111"/>
      <c r="I21" s="50"/>
      <c r="J21" s="45"/>
      <c r="K21" s="46"/>
    </row>
    <row r="22" spans="2:11" ht="15" customHeight="1" x14ac:dyDescent="0.25">
      <c r="B22" s="26"/>
      <c r="C22" s="53" t="s">
        <v>19</v>
      </c>
      <c r="D22" s="53" t="s">
        <v>12</v>
      </c>
      <c r="E22" s="106" t="s">
        <v>58</v>
      </c>
      <c r="F22" s="107"/>
      <c r="G22" s="107"/>
      <c r="H22" s="108"/>
      <c r="I22" s="50"/>
      <c r="J22" s="45"/>
      <c r="K22" s="46"/>
    </row>
    <row r="23" spans="2:11" x14ac:dyDescent="0.25">
      <c r="B23" s="47" t="str">
        <f>B17</f>
        <v>Buyer 1</v>
      </c>
      <c r="C23" s="125">
        <v>0.155</v>
      </c>
      <c r="D23" s="120" t="s">
        <v>29</v>
      </c>
      <c r="E23" s="47" t="str">
        <f>IF(D23="--Select--","",IF(D23="$ per bushel","$/bu",IF(D23="% of weight/price","%",IF(D23="Shrink + Dry","Shrink (% wt)"))))</f>
        <v>%</v>
      </c>
      <c r="F23" s="126">
        <v>1.4E-2</v>
      </c>
      <c r="G23" s="82" t="str">
        <f>IF(D23="--Select--","",IF(D23="$ per bushel","",IF(D23="% of weight/price","",IF(D23="Shrink + Dry","Dry ($/bu)"))))</f>
        <v/>
      </c>
      <c r="H23" s="128">
        <v>0.05</v>
      </c>
      <c r="I23" s="50"/>
      <c r="J23" s="45"/>
      <c r="K23" s="46"/>
    </row>
    <row r="24" spans="2:11" x14ac:dyDescent="0.25">
      <c r="B24" s="47" t="str">
        <f>B18</f>
        <v>Buyer 2</v>
      </c>
      <c r="C24" s="125">
        <v>0.14499999999999999</v>
      </c>
      <c r="D24" s="120" t="s">
        <v>28</v>
      </c>
      <c r="E24" s="47" t="str">
        <f t="shared" ref="E24:E25" si="0">IF(D24="--Select--","",IF(D24="$ per bushel","$/bu",IF(D24="% of weight/price","%",IF(D24="Shrink + Dry","Shrink (% wt)"))))</f>
        <v>$/bu</v>
      </c>
      <c r="F24" s="127">
        <v>0.05</v>
      </c>
      <c r="G24" s="83" t="str">
        <f>IF(D24="--Select--","",IF(D24="$ per bushel","",IF(D24="% of weight/price","",IF(D24="Shrink + Dry","Dry ($/bu)"))))</f>
        <v/>
      </c>
      <c r="H24" s="129">
        <v>1.7500000000000002E-2</v>
      </c>
      <c r="I24" s="40"/>
      <c r="J24" s="45"/>
      <c r="K24" s="46"/>
    </row>
    <row r="25" spans="2:11" x14ac:dyDescent="0.25">
      <c r="B25" s="47" t="str">
        <f>B19</f>
        <v>Buyer 3</v>
      </c>
      <c r="C25" s="125">
        <v>0.14000000000000001</v>
      </c>
      <c r="D25" s="120" t="s">
        <v>30</v>
      </c>
      <c r="E25" s="47" t="str">
        <f t="shared" si="0"/>
        <v>Shrink (% wt)</v>
      </c>
      <c r="F25" s="127">
        <v>0.02</v>
      </c>
      <c r="G25" s="84" t="str">
        <f>IF(D25="--Select--","",IF(D25="$ per bushel","",IF(D25="% of weight/price","",IF(D25="Shrink + Dry","Dry ($/bu)"))))</f>
        <v>Dry ($/bu)</v>
      </c>
      <c r="H25" s="130">
        <v>0.04</v>
      </c>
      <c r="I25" s="40"/>
      <c r="J25" s="45"/>
      <c r="K25" s="46"/>
    </row>
    <row r="26" spans="2:11" x14ac:dyDescent="0.25">
      <c r="B26" s="19"/>
      <c r="C26" s="20"/>
      <c r="F26" s="51"/>
      <c r="G26" s="45"/>
      <c r="H26" s="45"/>
    </row>
    <row r="27" spans="2:11" x14ac:dyDescent="0.25">
      <c r="B27" s="112" t="s">
        <v>25</v>
      </c>
      <c r="C27" s="113"/>
      <c r="D27" s="113"/>
      <c r="E27" s="113"/>
      <c r="F27" s="113"/>
      <c r="G27" s="113"/>
      <c r="H27" s="114"/>
    </row>
    <row r="28" spans="2:11" ht="47.25" x14ac:dyDescent="0.25">
      <c r="B28" s="28"/>
      <c r="C28" s="54" t="s">
        <v>59</v>
      </c>
      <c r="D28" s="54" t="s">
        <v>6</v>
      </c>
      <c r="E28" s="54" t="s">
        <v>7</v>
      </c>
      <c r="F28" s="54" t="s">
        <v>134</v>
      </c>
      <c r="G28" s="54" t="s">
        <v>8</v>
      </c>
      <c r="H28" s="35" t="s">
        <v>9</v>
      </c>
    </row>
    <row r="29" spans="2:11" ht="15.75" x14ac:dyDescent="0.25">
      <c r="B29" s="25" t="str">
        <f>B17</f>
        <v>Buyer 1</v>
      </c>
      <c r="C29" s="49">
        <f>IF($E$13&lt;C23,$E$12,(1-$E$13)/(1-C23)*$E$12)</f>
        <v>938.75739644970406</v>
      </c>
      <c r="D29" s="30">
        <f>IF(C17&gt;0,$E$8/$E$10*C17*2/C29,"")</f>
        <v>3.9946422943586517E-2</v>
      </c>
      <c r="E29" s="30">
        <f>IF(C17&gt;0,(((C17/E11)*2)+(D17/60))*$E$7/$C$29,"")</f>
        <v>2.9959817207689886E-2</v>
      </c>
      <c r="F29" s="30">
        <f>$E$9*C17*2/C29</f>
        <v>2.8761424519382291E-2</v>
      </c>
      <c r="G29" s="30">
        <f>IF(D23="--Select--","",IF($E$13&lt;=C23,0,IF(D23="$ per bushel",(F23*(($E$13*100)-(C23*100))),IF(D23="% of weight/price",(F23*E17)*(($E$13*100)-(C23*100)),IF(D23="Shrink + Dry",((F23*E17)+H23)*(($E$13*100)-(C23*100)))))))</f>
        <v>5.3900000000000003E-2</v>
      </c>
      <c r="H29" s="65">
        <f>IF(E17&gt;0,E17-(SUM(D29:G29)),"")</f>
        <v>3.6974323353293412</v>
      </c>
    </row>
    <row r="30" spans="2:11" ht="15.75" x14ac:dyDescent="0.25">
      <c r="B30" s="25" t="str">
        <f>B18</f>
        <v>Buyer 2</v>
      </c>
      <c r="C30" s="49">
        <f>IF($E$13&lt;C24,$E$12,(1-$E$13)/(1-C24)*$E$12)</f>
        <v>927.77777777777783</v>
      </c>
      <c r="D30" s="30">
        <f>IF(C18&gt;0,$E$8/$E$10*C18*2/C30,"")</f>
        <v>6.7365269461077834E-2</v>
      </c>
      <c r="E30" s="30">
        <f>IF(C18&gt;0,(((C18/E11)*2)+(D18/60))*$E$7/$C$30,"")</f>
        <v>4.8278443113772461E-2</v>
      </c>
      <c r="F30" s="30">
        <f t="shared" ref="F30:F31" si="1">$E$9*C18*2/C30</f>
        <v>4.8502994011976046E-2</v>
      </c>
      <c r="G30" s="30">
        <f>IF(D24="--Select--","",IF($E$13&lt;=C24,0,IF(D24="$ per bushel",(F24*(($E$13*100)-(C24*100))),IF(D24="% of weight/price",(F24*E18)*(($E$13*100)-(C24*100)),IF(D24="Shrink + Dry",((F24*E18)+H24)*(($E$13*100)-(C24*100)))))))</f>
        <v>0.10000000000000009</v>
      </c>
      <c r="H30" s="65">
        <f>IF(E18&gt;0,E18-(SUM(D30:G30)),"")</f>
        <v>3.5858532934131735</v>
      </c>
    </row>
    <row r="31" spans="2:11" ht="15.75" x14ac:dyDescent="0.25">
      <c r="B31" s="33" t="str">
        <f>IF(B19=0,"",B19)</f>
        <v>Buyer 3</v>
      </c>
      <c r="C31" s="49">
        <f>IF($E$13&lt;C25,$E$12,(1-$E$13)/(1-C25)*$E$12)</f>
        <v>922.38372093023247</v>
      </c>
      <c r="D31" s="30">
        <f>IF(OR(C19=0,C19=""),"",$E$8/$E$10*C19*2/C31)</f>
        <v>5.4207374724235743E-2</v>
      </c>
      <c r="E31" s="30">
        <f>IF(OR(C19=0,C19=""),"",(((C19/$E$11)*2)+(D19/60))*$E$7/C31)</f>
        <v>3.9526210736421895E-2</v>
      </c>
      <c r="F31" s="30">
        <f t="shared" si="1"/>
        <v>3.9029309801449738E-2</v>
      </c>
      <c r="G31" s="30">
        <f>IF(D25="--Select--","",IF($E$13&lt;=C25,0,IF(D25="$ per bushel",(F25*(($E$13*100)-(C25*100))),IF(D25="% of weight/price",(F25*E19)*(($E$13*100)-(C25*100)),IF(D25="Shrink + Dry",((F25*E19)+H25)*(($E$13*100)-(C25*100)))))))</f>
        <v>0.29249999999999976</v>
      </c>
      <c r="H31" s="65">
        <f>IF(OR(C19=0,C19="",D19="",D19=0,C25=0,C25="",D25="--Select--"),"",IF(E19&gt;0,(E19-(SUM(D31:G31))),""))</f>
        <v>3.4247371047378929</v>
      </c>
    </row>
    <row r="32" spans="2:11" x14ac:dyDescent="0.25">
      <c r="J32"/>
    </row>
    <row r="33" spans="2:8" ht="15.75" x14ac:dyDescent="0.25">
      <c r="B33" s="32" t="s">
        <v>26</v>
      </c>
      <c r="C33" s="31"/>
      <c r="D33" s="34" t="str">
        <f>IF(H33=H29,B29,IF(H33=H30,B30,B31))</f>
        <v>Buyer 1</v>
      </c>
      <c r="E33" s="32" t="s">
        <v>27</v>
      </c>
      <c r="F33" s="31"/>
      <c r="G33" s="31"/>
      <c r="H33" s="66">
        <f>MAX(H29:H31)</f>
        <v>3.6974323353293412</v>
      </c>
    </row>
    <row r="37" spans="2:8" ht="11.25" customHeight="1" x14ac:dyDescent="0.25"/>
    <row r="38" spans="2:8" x14ac:dyDescent="0.25">
      <c r="C38" s="22"/>
    </row>
    <row r="42" spans="2:8" x14ac:dyDescent="0.25">
      <c r="B42" s="23"/>
    </row>
    <row r="43" spans="2:8" x14ac:dyDescent="0.25">
      <c r="B43" s="23"/>
    </row>
    <row r="45" spans="2:8" x14ac:dyDescent="0.25">
      <c r="B45" s="23"/>
    </row>
    <row r="46" spans="2:8" x14ac:dyDescent="0.25">
      <c r="B46" s="23"/>
    </row>
    <row r="48" spans="2:8" x14ac:dyDescent="0.25">
      <c r="B48" s="23"/>
    </row>
    <row r="49" spans="2:2" x14ac:dyDescent="0.25">
      <c r="B49" s="23"/>
    </row>
    <row r="51" spans="2:2" x14ac:dyDescent="0.25">
      <c r="B51" s="23"/>
    </row>
    <row r="52" spans="2:2" x14ac:dyDescent="0.25">
      <c r="B52" s="23"/>
    </row>
  </sheetData>
  <sheetProtection algorithmName="SHA-512" hashValue="sfpBJ6lsNLOnhuviSyKlTEYnA2J6fiJ4YvNAr3ObuoMKnn3ZgT1ZfIDyat5rh+nb4oILZlZL8gIhqTOHL8Hf1w==" saltValue="A4KVpPsT27EYe6JlDk1CLw==" spinCount="100000" sheet="1" objects="1" scenarios="1"/>
  <mergeCells count="5">
    <mergeCell ref="E22:H22"/>
    <mergeCell ref="B21:H21"/>
    <mergeCell ref="B27:H27"/>
    <mergeCell ref="D6:E6"/>
    <mergeCell ref="B15:E15"/>
  </mergeCells>
  <conditionalFormatting sqref="H23:H25">
    <cfRule type="expression" dxfId="12" priority="7">
      <formula>$D23="Shrink + Dry"</formula>
    </cfRule>
  </conditionalFormatting>
  <conditionalFormatting sqref="I20:I25 F23:F25">
    <cfRule type="expression" dxfId="11" priority="2">
      <formula>D20="% of weight/price"</formula>
    </cfRule>
    <cfRule type="expression" dxfId="10" priority="3">
      <formula>D20="$ per bushel"</formula>
    </cfRule>
    <cfRule type="expression" dxfId="9" priority="4">
      <formula>D20="Shrink + Dry"</formula>
    </cfRule>
  </conditionalFormatting>
  <conditionalFormatting sqref="G23:H25">
    <cfRule type="expression" dxfId="8" priority="5">
      <formula>$D23="% of weight/price"</formula>
    </cfRule>
    <cfRule type="expression" dxfId="7" priority="6">
      <formula>$D23="$ per bushel"</formula>
    </cfRule>
  </conditionalFormatting>
  <conditionalFormatting sqref="C19:E19 C25:H25 C31:E31 G31:H31">
    <cfRule type="expression" dxfId="6" priority="1">
      <formula>$B$9=""</formula>
    </cfRule>
  </conditionalFormatting>
  <dataValidations count="2">
    <dataValidation type="list" showInputMessage="1" showErrorMessage="1" promptTitle="Choose a Discount Method" sqref="D24:D25 G20">
      <formula1>Discount</formula1>
    </dataValidation>
    <dataValidation type="list" showInputMessage="1" showErrorMessage="1" promptTitle="Choose Discount Method" sqref="D23">
      <formula1>Discount</formula1>
    </dataValidation>
  </dataValidations>
  <pageMargins left="0.7" right="0.7" top="0.75" bottom="0.75" header="0.3" footer="0.3"/>
  <pageSetup scale="86" orientation="landscape"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S63"/>
  <sheetViews>
    <sheetView zoomScale="85" zoomScaleNormal="85" workbookViewId="0">
      <selection activeCell="H27" sqref="H27:H32"/>
    </sheetView>
  </sheetViews>
  <sheetFormatPr defaultRowHeight="15" x14ac:dyDescent="0.25"/>
  <cols>
    <col min="1" max="1" width="2.85546875" style="18" customWidth="1"/>
    <col min="2" max="2" width="18.140625" style="18" customWidth="1"/>
    <col min="3" max="3" width="14.140625" style="18" bestFit="1" customWidth="1"/>
    <col min="4" max="4" width="22.85546875" style="18" customWidth="1"/>
    <col min="5" max="5" width="17.140625" style="18" customWidth="1"/>
    <col min="6" max="6" width="12.28515625" style="18" customWidth="1"/>
    <col min="7" max="7" width="17" style="18" customWidth="1"/>
    <col min="8" max="8" width="12.140625" style="18" customWidth="1"/>
    <col min="9" max="9" width="14.140625" style="18" bestFit="1" customWidth="1"/>
    <col min="10" max="11" width="10.7109375" style="18" customWidth="1"/>
    <col min="12" max="12" width="9.140625" style="18"/>
    <col min="13" max="13" width="20.140625" style="18" bestFit="1" customWidth="1"/>
    <col min="14" max="16384" width="9.140625" style="18"/>
  </cols>
  <sheetData>
    <row r="6" spans="2:19" x14ac:dyDescent="0.25">
      <c r="B6" s="25" t="s">
        <v>51</v>
      </c>
      <c r="D6" s="112" t="s">
        <v>24</v>
      </c>
      <c r="E6" s="114"/>
      <c r="F6" s="42"/>
    </row>
    <row r="7" spans="2:19" x14ac:dyDescent="0.25">
      <c r="B7" s="131" t="s">
        <v>52</v>
      </c>
      <c r="D7" s="24" t="s">
        <v>5</v>
      </c>
      <c r="E7" s="132">
        <v>12.5</v>
      </c>
    </row>
    <row r="8" spans="2:19" x14ac:dyDescent="0.25">
      <c r="B8" s="131" t="s">
        <v>53</v>
      </c>
      <c r="D8" s="24" t="s">
        <v>4</v>
      </c>
      <c r="E8" s="132">
        <v>2.5</v>
      </c>
      <c r="F8" s="41"/>
    </row>
    <row r="9" spans="2:19" x14ac:dyDescent="0.25">
      <c r="B9" s="131" t="s">
        <v>54</v>
      </c>
      <c r="D9" s="24" t="s">
        <v>130</v>
      </c>
      <c r="E9" s="132">
        <v>0.3</v>
      </c>
      <c r="F9" s="91"/>
    </row>
    <row r="10" spans="2:19" x14ac:dyDescent="0.25">
      <c r="B10" s="131" t="s">
        <v>60</v>
      </c>
      <c r="D10" s="48" t="s">
        <v>57</v>
      </c>
      <c r="E10" s="133">
        <v>6</v>
      </c>
      <c r="F10" s="40"/>
    </row>
    <row r="11" spans="2:19" x14ac:dyDescent="0.25">
      <c r="B11" s="131" t="s">
        <v>61</v>
      </c>
      <c r="D11" s="48" t="s">
        <v>56</v>
      </c>
      <c r="E11" s="133">
        <v>45</v>
      </c>
      <c r="F11" s="40"/>
    </row>
    <row r="12" spans="2:19" ht="15" customHeight="1" x14ac:dyDescent="0.25">
      <c r="B12" s="131" t="s">
        <v>62</v>
      </c>
      <c r="D12" s="24" t="s">
        <v>3</v>
      </c>
      <c r="E12" s="131">
        <v>950</v>
      </c>
      <c r="F12" s="40"/>
    </row>
    <row r="13" spans="2:19" x14ac:dyDescent="0.25">
      <c r="B13" s="41"/>
      <c r="D13" s="90" t="s">
        <v>131</v>
      </c>
      <c r="E13" s="134">
        <v>0.2</v>
      </c>
      <c r="F13" s="40"/>
    </row>
    <row r="14" spans="2:19" s="61" customFormat="1" x14ac:dyDescent="0.25">
      <c r="D14" s="60"/>
      <c r="E14" s="56"/>
    </row>
    <row r="15" spans="2:19" s="61" customFormat="1" x14ac:dyDescent="0.25">
      <c r="R15" s="18"/>
      <c r="S15" s="18"/>
    </row>
    <row r="16" spans="2:19" x14ac:dyDescent="0.25">
      <c r="B16" s="112" t="s">
        <v>46</v>
      </c>
      <c r="C16" s="113"/>
      <c r="D16" s="113"/>
      <c r="E16" s="114"/>
      <c r="F16" s="42"/>
      <c r="G16" s="42"/>
      <c r="I16" s="42"/>
      <c r="J16" s="42"/>
      <c r="K16" s="42"/>
      <c r="L16" s="45"/>
    </row>
    <row r="17" spans="2:11" ht="30" x14ac:dyDescent="0.25">
      <c r="B17" s="27"/>
      <c r="C17" s="27" t="s">
        <v>48</v>
      </c>
      <c r="D17" s="27" t="s">
        <v>11</v>
      </c>
      <c r="E17" s="27" t="s">
        <v>23</v>
      </c>
      <c r="G17" s="42"/>
      <c r="H17" s="42"/>
    </row>
    <row r="18" spans="2:11" x14ac:dyDescent="0.25">
      <c r="B18" s="47" t="str">
        <f t="shared" ref="B18:B23" si="0">B7</f>
        <v>BUYER 1</v>
      </c>
      <c r="C18" s="131">
        <v>15</v>
      </c>
      <c r="D18" s="131">
        <v>15</v>
      </c>
      <c r="E18" s="135">
        <v>3.1</v>
      </c>
      <c r="H18" s="22"/>
    </row>
    <row r="19" spans="2:11" x14ac:dyDescent="0.25">
      <c r="B19" s="47" t="str">
        <f t="shared" si="0"/>
        <v>BUYER 2</v>
      </c>
      <c r="C19" s="131">
        <v>75</v>
      </c>
      <c r="D19" s="131">
        <v>15</v>
      </c>
      <c r="E19" s="135">
        <v>3.1</v>
      </c>
      <c r="H19" s="22"/>
    </row>
    <row r="20" spans="2:11" x14ac:dyDescent="0.25">
      <c r="B20" s="47" t="str">
        <f t="shared" si="0"/>
        <v>BUYER 3</v>
      </c>
      <c r="C20" s="131">
        <v>60</v>
      </c>
      <c r="D20" s="131">
        <v>15</v>
      </c>
      <c r="E20" s="135">
        <v>3.1</v>
      </c>
      <c r="H20" s="22"/>
    </row>
    <row r="21" spans="2:11" x14ac:dyDescent="0.25">
      <c r="B21" s="47" t="str">
        <f t="shared" si="0"/>
        <v>BUYER 4</v>
      </c>
      <c r="C21" s="131">
        <v>45</v>
      </c>
      <c r="D21" s="131">
        <v>15</v>
      </c>
      <c r="E21" s="135">
        <v>3.1</v>
      </c>
      <c r="F21" s="44"/>
      <c r="G21" s="41"/>
      <c r="H21" s="45"/>
      <c r="I21" s="40"/>
      <c r="J21" s="45"/>
      <c r="K21" s="46"/>
    </row>
    <row r="22" spans="2:11" x14ac:dyDescent="0.25">
      <c r="B22" s="47" t="str">
        <f t="shared" si="0"/>
        <v>BUYER 5</v>
      </c>
      <c r="C22" s="131">
        <v>30</v>
      </c>
      <c r="D22" s="131">
        <v>15</v>
      </c>
      <c r="E22" s="135">
        <v>3.1</v>
      </c>
      <c r="F22" s="44"/>
      <c r="G22" s="41"/>
      <c r="H22" s="45"/>
      <c r="I22" s="40"/>
      <c r="J22" s="45"/>
      <c r="K22" s="46"/>
    </row>
    <row r="23" spans="2:11" x14ac:dyDescent="0.25">
      <c r="B23" s="47" t="str">
        <f t="shared" si="0"/>
        <v>BUYER 6</v>
      </c>
      <c r="C23" s="131">
        <v>73</v>
      </c>
      <c r="D23" s="131">
        <v>15</v>
      </c>
      <c r="E23" s="135">
        <v>3.1</v>
      </c>
      <c r="F23" s="44"/>
      <c r="G23" s="41"/>
      <c r="H23" s="45"/>
      <c r="I23" s="40"/>
      <c r="J23" s="45"/>
      <c r="K23" s="46"/>
    </row>
    <row r="24" spans="2:11" x14ac:dyDescent="0.25">
      <c r="B24" s="41"/>
      <c r="C24" s="41"/>
      <c r="D24" s="41"/>
      <c r="E24" s="43"/>
      <c r="F24" s="44"/>
      <c r="G24" s="41"/>
      <c r="H24" s="45"/>
      <c r="I24" s="40"/>
      <c r="J24" s="45"/>
      <c r="K24" s="46"/>
    </row>
    <row r="25" spans="2:11" x14ac:dyDescent="0.25">
      <c r="B25" s="109" t="s">
        <v>47</v>
      </c>
      <c r="C25" s="110"/>
      <c r="D25" s="110"/>
      <c r="E25" s="110"/>
      <c r="F25" s="110"/>
      <c r="G25" s="110"/>
      <c r="H25" s="111"/>
      <c r="I25" s="50"/>
      <c r="J25" s="45"/>
      <c r="K25" s="46"/>
    </row>
    <row r="26" spans="2:11" x14ac:dyDescent="0.25">
      <c r="B26" s="26"/>
      <c r="C26" s="27" t="s">
        <v>19</v>
      </c>
      <c r="D26" s="27" t="s">
        <v>12</v>
      </c>
      <c r="E26" s="116" t="s">
        <v>58</v>
      </c>
      <c r="F26" s="116"/>
      <c r="G26" s="116"/>
      <c r="H26" s="116"/>
      <c r="I26" s="50"/>
      <c r="J26" s="45"/>
      <c r="K26" s="46"/>
    </row>
    <row r="27" spans="2:11" x14ac:dyDescent="0.25">
      <c r="B27" s="47" t="str">
        <f t="shared" ref="B27:B32" si="1">B18</f>
        <v>BUYER 1</v>
      </c>
      <c r="C27" s="136">
        <v>0.155</v>
      </c>
      <c r="D27" s="131" t="s">
        <v>30</v>
      </c>
      <c r="E27" s="25" t="str">
        <f>IF(D27="--Select--","",IF(D27="$ per bushel","$/bu",IF(D27="% of weight/price","%",IF(D27="Shrink + Dry","Shrink (% wt)"))))</f>
        <v>Shrink (% wt)</v>
      </c>
      <c r="F27" s="137">
        <v>1.4E-2</v>
      </c>
      <c r="G27" s="25" t="str">
        <f>IF(D27="--Select--","",IF(D27="$ per bushel","",IF(D27="% of weight/price","",IF(D27="Shrink + Dry","Dry ($/bu)"))))</f>
        <v>Dry ($/bu)</v>
      </c>
      <c r="H27" s="139">
        <v>0.05</v>
      </c>
      <c r="I27" s="50"/>
      <c r="J27" s="45"/>
      <c r="K27" s="46"/>
    </row>
    <row r="28" spans="2:11" x14ac:dyDescent="0.25">
      <c r="B28" s="47" t="str">
        <f t="shared" si="1"/>
        <v>BUYER 2</v>
      </c>
      <c r="C28" s="136">
        <v>0.14499999999999999</v>
      </c>
      <c r="D28" s="131" t="s">
        <v>28</v>
      </c>
      <c r="E28" s="25" t="str">
        <f t="shared" ref="E28:E32" si="2">IF(D28="--Select--","",IF(D28="$ per bushel","$/bu",IF(D28="% of weight/price","%",IF(D28="Shrink + Dry","Shrink (% wt)"))))</f>
        <v>$/bu</v>
      </c>
      <c r="F28" s="138">
        <v>0.1</v>
      </c>
      <c r="G28" s="85" t="str">
        <f t="shared" ref="G28:G32" si="3">IF(D28="--Select--","",IF(D28="$ per bushel","",IF(D28="% of weight/price","",IF(D28="Shrink + Dry","Dry ($/bu)"))))</f>
        <v/>
      </c>
      <c r="H28" s="140">
        <v>1.7500000000000002E-2</v>
      </c>
      <c r="I28" s="50"/>
      <c r="J28" s="45"/>
      <c r="K28" s="46"/>
    </row>
    <row r="29" spans="2:11" x14ac:dyDescent="0.25">
      <c r="B29" s="47" t="str">
        <f t="shared" si="1"/>
        <v>BUYER 3</v>
      </c>
      <c r="C29" s="136">
        <v>0.14000000000000001</v>
      </c>
      <c r="D29" s="131" t="s">
        <v>29</v>
      </c>
      <c r="E29" s="25" t="str">
        <f t="shared" si="2"/>
        <v>%</v>
      </c>
      <c r="F29" s="138">
        <v>0.02</v>
      </c>
      <c r="G29" s="86" t="str">
        <f t="shared" si="3"/>
        <v/>
      </c>
      <c r="H29" s="141">
        <v>0.04</v>
      </c>
      <c r="I29" s="50"/>
      <c r="J29" s="45"/>
      <c r="K29" s="46"/>
    </row>
    <row r="30" spans="2:11" x14ac:dyDescent="0.25">
      <c r="B30" s="47" t="str">
        <f t="shared" si="1"/>
        <v>BUYER 4</v>
      </c>
      <c r="C30" s="136">
        <v>0.15</v>
      </c>
      <c r="D30" s="131" t="s">
        <v>29</v>
      </c>
      <c r="E30" s="25" t="str">
        <f t="shared" si="2"/>
        <v>%</v>
      </c>
      <c r="F30" s="138">
        <v>0.02</v>
      </c>
      <c r="G30" s="86" t="str">
        <f t="shared" si="3"/>
        <v/>
      </c>
      <c r="H30" s="141">
        <v>6.25E-2</v>
      </c>
      <c r="I30" s="52"/>
    </row>
    <row r="31" spans="2:11" x14ac:dyDescent="0.25">
      <c r="B31" s="47" t="str">
        <f t="shared" si="1"/>
        <v>BUYER 5</v>
      </c>
      <c r="C31" s="136">
        <v>0.14499999999999999</v>
      </c>
      <c r="D31" s="131" t="s">
        <v>28</v>
      </c>
      <c r="E31" s="25" t="str">
        <f t="shared" si="2"/>
        <v>$/bu</v>
      </c>
      <c r="F31" s="138">
        <v>1.4999999999999999E-2</v>
      </c>
      <c r="G31" s="86" t="str">
        <f t="shared" si="3"/>
        <v/>
      </c>
      <c r="H31" s="141">
        <v>8.5000000000000006E-2</v>
      </c>
      <c r="I31" s="52"/>
    </row>
    <row r="32" spans="2:11" x14ac:dyDescent="0.25">
      <c r="B32" s="47" t="str">
        <f t="shared" si="1"/>
        <v>BUYER 6</v>
      </c>
      <c r="C32" s="136">
        <v>0.15</v>
      </c>
      <c r="D32" s="131" t="s">
        <v>28</v>
      </c>
      <c r="E32" s="25" t="str">
        <f t="shared" si="2"/>
        <v>$/bu</v>
      </c>
      <c r="F32" s="138">
        <v>2.5000000000000001E-2</v>
      </c>
      <c r="G32" s="87" t="str">
        <f t="shared" si="3"/>
        <v/>
      </c>
      <c r="H32" s="142">
        <v>0.1075</v>
      </c>
      <c r="I32" s="52"/>
    </row>
    <row r="33" spans="2:10" x14ac:dyDescent="0.25">
      <c r="B33" s="19"/>
      <c r="C33" s="21"/>
      <c r="G33" s="51"/>
      <c r="H33" s="51"/>
    </row>
    <row r="34" spans="2:10" x14ac:dyDescent="0.25">
      <c r="B34" s="19"/>
      <c r="C34" s="21"/>
    </row>
    <row r="35" spans="2:10" x14ac:dyDescent="0.25">
      <c r="B35" s="115" t="s">
        <v>25</v>
      </c>
      <c r="C35" s="115"/>
      <c r="D35" s="115"/>
      <c r="E35" s="115"/>
      <c r="F35" s="115"/>
      <c r="G35" s="115"/>
    </row>
    <row r="36" spans="2:10" ht="47.25" x14ac:dyDescent="0.25">
      <c r="B36" s="28"/>
      <c r="C36" s="29" t="s">
        <v>59</v>
      </c>
      <c r="D36" s="29" t="s">
        <v>6</v>
      </c>
      <c r="E36" s="29" t="s">
        <v>7</v>
      </c>
      <c r="F36" s="54" t="s">
        <v>63</v>
      </c>
      <c r="G36" s="29" t="s">
        <v>8</v>
      </c>
      <c r="H36" s="35" t="s">
        <v>9</v>
      </c>
    </row>
    <row r="37" spans="2:10" ht="15.75" x14ac:dyDescent="0.25">
      <c r="B37" s="25" t="str">
        <f>B18</f>
        <v>BUYER 1</v>
      </c>
      <c r="C37" s="49">
        <f t="shared" ref="C37:C42" si="4">IF($E$13&lt;C27,$E$12,(1-$E$13)/(1-C27)*$E$12)</f>
        <v>899.40828402366867</v>
      </c>
      <c r="D37" s="30">
        <f t="shared" ref="D37:D42" si="5">IF(OR(C18=0,C18=""),"",$E$8/$E$10*C18*2/C37)</f>
        <v>1.3898026315789474E-2</v>
      </c>
      <c r="E37" s="30">
        <f>IF(C18&gt;0,(((C18/E11)*2)+(D18/60))*$E$7/$C$37,"")</f>
        <v>1.273985745614035E-2</v>
      </c>
      <c r="F37" s="30">
        <f>$E$9*C18*2/C37</f>
        <v>1.000657894736842E-2</v>
      </c>
      <c r="G37" s="30">
        <f t="shared" ref="G37:G42" si="6">IF(D27="--Select--","",IF($E$13&lt;=C27,0,IF(D27="$ per bushel",(F27*(($E$13*100)-(C27*100))),IF(D27="% of weight/price",(F27*E18)*(($E$13*100)-(C27*100)),IF(D27="Shrink + Dry",((F27*E18)+H27)*(($E$13*100)-(C27*100)))))))</f>
        <v>0.42030000000000006</v>
      </c>
      <c r="H37" s="65">
        <f>IF(E18&gt;0,E18-(SUM(D37:G37)),"")</f>
        <v>2.6430555372807016</v>
      </c>
    </row>
    <row r="38" spans="2:10" ht="15.75" x14ac:dyDescent="0.25">
      <c r="B38" s="25" t="str">
        <f>B19</f>
        <v>BUYER 2</v>
      </c>
      <c r="C38" s="49">
        <f t="shared" si="4"/>
        <v>888.88888888888891</v>
      </c>
      <c r="D38" s="30">
        <f t="shared" si="5"/>
        <v>7.03125E-2</v>
      </c>
      <c r="E38" s="30">
        <f>IF(C19&gt;0,(((C19/E11)*2)+(D19/60))*$E$7/$C$38,"")</f>
        <v>5.0390625000000001E-2</v>
      </c>
      <c r="F38" s="30">
        <f t="shared" ref="F38:F42" si="7">$E$9*C19*2/C38</f>
        <v>5.0624999999999996E-2</v>
      </c>
      <c r="G38" s="30">
        <f t="shared" si="6"/>
        <v>0.55000000000000016</v>
      </c>
      <c r="H38" s="65">
        <f>IF(E19&gt;0,E19-(SUM(D38:G38)),"")</f>
        <v>2.3786718750000002</v>
      </c>
    </row>
    <row r="39" spans="2:10" ht="15.75" x14ac:dyDescent="0.25">
      <c r="B39" s="25" t="str">
        <f>B20</f>
        <v>BUYER 3</v>
      </c>
      <c r="C39" s="49">
        <f t="shared" si="4"/>
        <v>883.7209302325582</v>
      </c>
      <c r="D39" s="30">
        <f t="shared" si="5"/>
        <v>5.6578947368421048E-2</v>
      </c>
      <c r="E39" s="30">
        <f>IF(OR(C20=0,C20=""),"",(((C20/$E$11)*2)+(D20/60))*$E$7/C39)</f>
        <v>4.1255482456140344E-2</v>
      </c>
      <c r="F39" s="30">
        <f t="shared" si="7"/>
        <v>4.0736842105263155E-2</v>
      </c>
      <c r="G39" s="30">
        <f t="shared" si="6"/>
        <v>0.37199999999999994</v>
      </c>
      <c r="H39" s="65">
        <f>IF(OR(C20=0,C20="",D20="",D20=0,C29=0,C29="",D29="--Select--"),"",IF(E20&gt;0,(E20-(SUM(D39:G39))),""))</f>
        <v>2.5894287280701755</v>
      </c>
    </row>
    <row r="40" spans="2:10" ht="15.75" x14ac:dyDescent="0.25">
      <c r="B40" s="25" t="str">
        <f>B21</f>
        <v>BUYER 4</v>
      </c>
      <c r="C40" s="49">
        <f t="shared" si="4"/>
        <v>894.11764705882365</v>
      </c>
      <c r="D40" s="30">
        <f t="shared" si="5"/>
        <v>4.1940789473684202E-2</v>
      </c>
      <c r="E40" s="30">
        <f>IF(OR(C21=0,C21=""),"",(((C21/$E$11)*2)+(D21/60))*$E$7/C40)</f>
        <v>3.1455592105263157E-2</v>
      </c>
      <c r="F40" s="30">
        <f t="shared" si="7"/>
        <v>3.0197368421052629E-2</v>
      </c>
      <c r="G40" s="30">
        <f t="shared" si="6"/>
        <v>0.31000000000000005</v>
      </c>
      <c r="H40" s="65">
        <f>IF(OR(C21=0,C21="",D21="",D21=0,C30=0,C30="",D30="--Select--"),"",IF(E21&gt;0,(E21-(SUM(D40:G40))),""))</f>
        <v>2.6864062500000001</v>
      </c>
    </row>
    <row r="41" spans="2:10" ht="15.75" x14ac:dyDescent="0.25">
      <c r="B41" s="25" t="str">
        <f>B22</f>
        <v>BUYER 5</v>
      </c>
      <c r="C41" s="49">
        <f t="shared" si="4"/>
        <v>888.88888888888891</v>
      </c>
      <c r="D41" s="30">
        <f t="shared" si="5"/>
        <v>2.8125000000000001E-2</v>
      </c>
      <c r="E41" s="30">
        <f>IF(OR(C22=0,C22=""),"",(((C22/$E$11)*2)+(D22/60))*$E$7/C41)</f>
        <v>2.2265624999999997E-2</v>
      </c>
      <c r="F41" s="30">
        <f t="shared" si="7"/>
        <v>2.0250000000000001E-2</v>
      </c>
      <c r="G41" s="30">
        <f t="shared" si="6"/>
        <v>8.2500000000000018E-2</v>
      </c>
      <c r="H41" s="65">
        <f>IF(OR(C22=0,C22="",D22="",D22=0,C31=0,C31="",D31="--Select--"),"",IF(E22&gt;0,(E22-(SUM(D41:G41))),""))</f>
        <v>2.9468593749999998</v>
      </c>
    </row>
    <row r="42" spans="2:10" ht="15.75" x14ac:dyDescent="0.25">
      <c r="B42" s="33" t="str">
        <f>IF(B23=0,"",B23)</f>
        <v>BUYER 6</v>
      </c>
      <c r="C42" s="49">
        <f t="shared" si="4"/>
        <v>894.11764705882365</v>
      </c>
      <c r="D42" s="30">
        <f t="shared" si="5"/>
        <v>6.8037280701754382E-2</v>
      </c>
      <c r="E42" s="30">
        <f>IF(OR(C23=0,C23=""),"",(((C23/$E$11)*2)+(D23/60))*$E$7/C42)</f>
        <v>4.8853252923976603E-2</v>
      </c>
      <c r="F42" s="30">
        <f t="shared" si="7"/>
        <v>4.8986842105263148E-2</v>
      </c>
      <c r="G42" s="30">
        <f t="shared" si="6"/>
        <v>0.125</v>
      </c>
      <c r="H42" s="65">
        <f>IF(OR(C23=0,C23="",D23="",D23=0,C32=0,C32="",D32="--Select--"),"",IF(E23&gt;0,(E23-(SUM(D42:G42))),""))</f>
        <v>2.8091226242690057</v>
      </c>
    </row>
    <row r="43" spans="2:10" x14ac:dyDescent="0.25">
      <c r="J43"/>
    </row>
    <row r="44" spans="2:10" ht="15.75" x14ac:dyDescent="0.25">
      <c r="B44" s="32" t="s">
        <v>26</v>
      </c>
      <c r="C44" s="31"/>
      <c r="D44" s="34" t="str">
        <f>IF(H44=H37,B37,IF(H44=H38,B38,IF(H44=H39,B39,IF(H44=H40,B40,IF(H44=H41,B41,B42)))))</f>
        <v>BUYER 5</v>
      </c>
      <c r="E44" s="32" t="s">
        <v>27</v>
      </c>
      <c r="F44" s="31"/>
      <c r="G44" s="31"/>
      <c r="H44" s="66">
        <f>MAX(H37:H42)</f>
        <v>2.9468593749999998</v>
      </c>
    </row>
    <row r="49" spans="2:3" x14ac:dyDescent="0.25">
      <c r="C49" s="22"/>
    </row>
    <row r="53" spans="2:3" x14ac:dyDescent="0.25">
      <c r="B53" s="23"/>
    </row>
    <row r="54" spans="2:3" x14ac:dyDescent="0.25">
      <c r="B54" s="23"/>
    </row>
    <row r="56" spans="2:3" x14ac:dyDescent="0.25">
      <c r="B56" s="23"/>
    </row>
    <row r="57" spans="2:3" x14ac:dyDescent="0.25">
      <c r="B57" s="23"/>
    </row>
    <row r="59" spans="2:3" x14ac:dyDescent="0.25">
      <c r="B59" s="23"/>
    </row>
    <row r="60" spans="2:3" x14ac:dyDescent="0.25">
      <c r="B60" s="23"/>
    </row>
    <row r="62" spans="2:3" x14ac:dyDescent="0.25">
      <c r="B62" s="23"/>
    </row>
    <row r="63" spans="2:3" x14ac:dyDescent="0.25">
      <c r="B63" s="23"/>
    </row>
  </sheetData>
  <sheetProtection algorithmName="SHA-512" hashValue="OzPrQv1cKmqRcu/VZjdkf+m6TH62vpbvKaeYq5cp8yLMw2aUM3n4VbQBIuRUNN3oLx/6PsZQNvk8hZ9+aaPtPw==" saltValue="8mA+OSLtJJqI4Xka75ds+w==" spinCount="100000" sheet="1" objects="1" scenarios="1"/>
  <mergeCells count="5">
    <mergeCell ref="B35:G35"/>
    <mergeCell ref="D6:E6"/>
    <mergeCell ref="B25:H25"/>
    <mergeCell ref="E26:H26"/>
    <mergeCell ref="B16:E16"/>
  </mergeCells>
  <conditionalFormatting sqref="H27:H32">
    <cfRule type="expression" dxfId="5" priority="6">
      <formula>$D27="Shrink + Dry"</formula>
    </cfRule>
  </conditionalFormatting>
  <conditionalFormatting sqref="F27:F32 I21:I29">
    <cfRule type="expression" dxfId="4" priority="1">
      <formula>D21="% of weight/price"</formula>
    </cfRule>
    <cfRule type="expression" dxfId="3" priority="2">
      <formula>D21="$ per bushel"</formula>
    </cfRule>
    <cfRule type="expression" dxfId="2" priority="3">
      <formula>D21="Shrink + Dry"</formula>
    </cfRule>
  </conditionalFormatting>
  <conditionalFormatting sqref="G27:H32">
    <cfRule type="expression" dxfId="1" priority="4">
      <formula>$D27="% of weight/price"</formula>
    </cfRule>
    <cfRule type="expression" dxfId="0" priority="5">
      <formula>$D27="$ per bushel"</formula>
    </cfRule>
  </conditionalFormatting>
  <dataValidations count="2">
    <dataValidation type="list" showInputMessage="1" showErrorMessage="1" promptTitle="Choose a Discount Method" sqref="D28:D32 G21:G24">
      <formula1>Discount</formula1>
    </dataValidation>
    <dataValidation type="list" showInputMessage="1" showErrorMessage="1" promptTitle="Choose Discount Method" sqref="D27">
      <formula1>Discount</formula1>
    </dataValidation>
  </dataValidations>
  <pageMargins left="0.7" right="0.7" top="0.75" bottom="0.75" header="0.3" footer="0.3"/>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84"/>
  <sheetViews>
    <sheetView showGridLines="0" zoomScale="85" zoomScaleNormal="85" workbookViewId="0">
      <selection activeCell="G18" sqref="G18"/>
    </sheetView>
  </sheetViews>
  <sheetFormatPr defaultRowHeight="15" x14ac:dyDescent="0.25"/>
  <cols>
    <col min="1" max="1" width="2.85546875" style="143" customWidth="1"/>
    <col min="2" max="16384" width="9.140625" style="143"/>
  </cols>
  <sheetData>
    <row r="5" spans="2:7" x14ac:dyDescent="0.25">
      <c r="B5" s="143" t="s">
        <v>126</v>
      </c>
    </row>
    <row r="6" spans="2:7" x14ac:dyDescent="0.25">
      <c r="B6" s="143" t="s">
        <v>125</v>
      </c>
    </row>
    <row r="7" spans="2:7" ht="11.25" customHeight="1" thickBot="1" x14ac:dyDescent="0.3">
      <c r="B7" s="144"/>
      <c r="C7" s="144"/>
      <c r="D7" s="144"/>
      <c r="E7" s="144"/>
      <c r="F7" s="144"/>
      <c r="G7" s="144"/>
    </row>
    <row r="8" spans="2:7" ht="20.25" thickBot="1" x14ac:dyDescent="0.35">
      <c r="B8" s="145" t="s">
        <v>84</v>
      </c>
      <c r="C8" s="146"/>
      <c r="D8" s="146"/>
      <c r="E8" s="146"/>
      <c r="F8" s="146"/>
      <c r="G8" s="147"/>
    </row>
    <row r="9" spans="2:7" ht="21" thickTop="1" thickBot="1" x14ac:dyDescent="0.35">
      <c r="B9" s="148" t="str">
        <f>' Grain Hauling Decision Tool'!B7</f>
        <v>Buyer 1</v>
      </c>
      <c r="C9" s="149"/>
      <c r="D9" s="149" t="str">
        <f>' Grain Hauling Decision Tool'!B8</f>
        <v>Buyer 2</v>
      </c>
      <c r="E9" s="149"/>
      <c r="F9" s="149" t="str">
        <f>' Grain Hauling Decision Tool'!B9</f>
        <v>Buyer 3</v>
      </c>
      <c r="G9" s="150"/>
    </row>
    <row r="10" spans="2:7" ht="31.5" thickTop="1" thickBot="1" x14ac:dyDescent="0.3">
      <c r="B10" s="151" t="s">
        <v>49</v>
      </c>
      <c r="C10" s="152" t="s">
        <v>50</v>
      </c>
      <c r="D10" s="152" t="s">
        <v>49</v>
      </c>
      <c r="E10" s="152" t="s">
        <v>50</v>
      </c>
      <c r="F10" s="152" t="s">
        <v>49</v>
      </c>
      <c r="G10" s="153" t="s">
        <v>50</v>
      </c>
    </row>
    <row r="11" spans="2:7" x14ac:dyDescent="0.25">
      <c r="B11" s="154">
        <v>0.13</v>
      </c>
      <c r="C11" s="93">
        <f>IF(' Grain Hauling Decision Tool'!$D$23="--Select--","",IF(B11&lt;' Grain Hauling Decision Tool'!$C$23,0,IF(' Grain Hauling Decision Tool'!$D$23="$ per bushel",(' Grain Hauling Decision Tool'!$F$23*((B11*100)-(' Grain Hauling Decision Tool'!$C$23*100))),IF(' Grain Hauling Decision Tool'!$D$23="% of weight/price",(' Grain Hauling Decision Tool'!$F$23*' Grain Hauling Decision Tool'!$E$17)*((B11*100)-(' Grain Hauling Decision Tool'!$C$23*100)),IF(' Grain Hauling Decision Tool'!$D$23="Shrink + Dry",((' Grain Hauling Decision Tool'!$F$23*' Grain Hauling Decision Tool'!$E$17)+' Grain Hauling Decision Tool'!$H$23)*((B11*100)-(' Grain Hauling Decision Tool'!$C$23*100)))))))</f>
        <v>0</v>
      </c>
      <c r="D11" s="155">
        <v>0.13</v>
      </c>
      <c r="E11" s="93">
        <f>IF(' Grain Hauling Decision Tool'!$D$24="--Select--","",IF(D11&lt;' Grain Hauling Decision Tool'!$C$24,0,IF(' Grain Hauling Decision Tool'!$D$24="$ per bushel",(' Grain Hauling Decision Tool'!$F$24*((D11*100)-(' Grain Hauling Decision Tool'!$C$24*100))),IF(' Grain Hauling Decision Tool'!$D$24="% of weight/price",(' Grain Hauling Decision Tool'!$F$24*' Grain Hauling Decision Tool'!$E$18)*((D11*100)-(' Grain Hauling Decision Tool'!$C$24*100)),IF(' Grain Hauling Decision Tool'!$D$24="Shrink + Dry",((' Grain Hauling Decision Tool'!$F$24*' Grain Hauling Decision Tool'!$E$18)+' Grain Hauling Decision Tool'!$H$24)*((D11*100)-(' Grain Hauling Decision Tool'!$C$24*100)))))))</f>
        <v>0</v>
      </c>
      <c r="F11" s="155">
        <v>0.13</v>
      </c>
      <c r="G11" s="96">
        <f>IF(' Grain Hauling Decision Tool'!$D$25="--Select--","",IF(F11&lt;' Grain Hauling Decision Tool'!$C$25,0,IF(' Grain Hauling Decision Tool'!$D$25="$ per bushel",(' Grain Hauling Decision Tool'!$F$25*((F11*100)-(' Grain Hauling Decision Tool'!$C$25*100))),IF(' Grain Hauling Decision Tool'!$D$25="% of weight/price",(' Grain Hauling Decision Tool'!$F$25*' Grain Hauling Decision Tool'!$E$19)*((F11*100)-(' Grain Hauling Decision Tool'!$C$25*100)),IF(' Grain Hauling Decision Tool'!$D$25="Shrink + Dry",((' Grain Hauling Decision Tool'!$F$25*' Grain Hauling Decision Tool'!$E$19)+' Grain Hauling Decision Tool'!$H$25)*((F11*100)-(' Grain Hauling Decision Tool'!$C$25*100)))))))</f>
        <v>0</v>
      </c>
    </row>
    <row r="12" spans="2:7" x14ac:dyDescent="0.25">
      <c r="B12" s="156">
        <v>0.13500000000000001</v>
      </c>
      <c r="C12" s="94">
        <f>IF(' Grain Hauling Decision Tool'!$D$23="--Select--","",IF(B12&lt;' Grain Hauling Decision Tool'!$C$23,0,IF(' Grain Hauling Decision Tool'!$D$23="$ per bushel",(' Grain Hauling Decision Tool'!$F$23*((B12*100)-(' Grain Hauling Decision Tool'!$C$23*100))),IF(' Grain Hauling Decision Tool'!$D$23="% of weight/price",(' Grain Hauling Decision Tool'!$F$23*' Grain Hauling Decision Tool'!$E$17)*((B12*100)-(' Grain Hauling Decision Tool'!$C$23*100)),IF(' Grain Hauling Decision Tool'!$D$23="Shrink + Dry",((' Grain Hauling Decision Tool'!$F$23*' Grain Hauling Decision Tool'!$E$17)+' Grain Hauling Decision Tool'!$H$23)*((B12*100)-(' Grain Hauling Decision Tool'!$C$23*100)))))))</f>
        <v>0</v>
      </c>
      <c r="D12" s="157">
        <v>0.13500000000000001</v>
      </c>
      <c r="E12" s="94">
        <f>IF(' Grain Hauling Decision Tool'!$D$24="--Select--","",IF(D12&lt;' Grain Hauling Decision Tool'!$C$24,0,IF(' Grain Hauling Decision Tool'!$D$24="$ per bushel",(' Grain Hauling Decision Tool'!$F$24*((D12*100)-(' Grain Hauling Decision Tool'!$C$24*100))),IF(' Grain Hauling Decision Tool'!$D$24="% of weight/price",(' Grain Hauling Decision Tool'!$F$24*' Grain Hauling Decision Tool'!$E$18)*((D12*100)-(' Grain Hauling Decision Tool'!$C$24*100)),IF(' Grain Hauling Decision Tool'!$D$24="Shrink + Dry",((' Grain Hauling Decision Tool'!$F$24*' Grain Hauling Decision Tool'!$E$18)+' Grain Hauling Decision Tool'!$H$24)*((D12*100)-(' Grain Hauling Decision Tool'!$C$24*100)))))))</f>
        <v>0</v>
      </c>
      <c r="F12" s="157">
        <v>0.13500000000000001</v>
      </c>
      <c r="G12" s="97">
        <f>IF(' Grain Hauling Decision Tool'!$D$25="--Select--","",IF(F12&lt;' Grain Hauling Decision Tool'!$C$25,0,IF(' Grain Hauling Decision Tool'!$D$25="$ per bushel",(' Grain Hauling Decision Tool'!$F$25*((F12*100)-(' Grain Hauling Decision Tool'!$C$25*100))),IF(' Grain Hauling Decision Tool'!$D$25="% of weight/price",(' Grain Hauling Decision Tool'!$F$25*' Grain Hauling Decision Tool'!$E$19)*((F12*100)-(' Grain Hauling Decision Tool'!$C$25*100)),IF(' Grain Hauling Decision Tool'!$D$25="Shrink + Dry",((' Grain Hauling Decision Tool'!$F$25*' Grain Hauling Decision Tool'!$E$19)+' Grain Hauling Decision Tool'!$H$25)*((F12*100)-(' Grain Hauling Decision Tool'!$C$25*100)))))))</f>
        <v>0</v>
      </c>
    </row>
    <row r="13" spans="2:7" x14ac:dyDescent="0.25">
      <c r="B13" s="158">
        <v>0.14000000000000001</v>
      </c>
      <c r="C13" s="93">
        <f>IF(' Grain Hauling Decision Tool'!$D$23="--Select--","",IF(B13&lt;' Grain Hauling Decision Tool'!$C$23,0,IF(' Grain Hauling Decision Tool'!$D$23="$ per bushel",(' Grain Hauling Decision Tool'!$F$23*((B13*100)-(' Grain Hauling Decision Tool'!$C$23*100))),IF(' Grain Hauling Decision Tool'!$D$23="% of weight/price",(' Grain Hauling Decision Tool'!$F$23*' Grain Hauling Decision Tool'!$E$17)*((B13*100)-(' Grain Hauling Decision Tool'!$C$23*100)),IF(' Grain Hauling Decision Tool'!$D$23="Shrink + Dry",((' Grain Hauling Decision Tool'!$F$23*' Grain Hauling Decision Tool'!$E$17)+' Grain Hauling Decision Tool'!$H$23)*((B13*100)-(' Grain Hauling Decision Tool'!$C$23*100)))))))</f>
        <v>0</v>
      </c>
      <c r="D13" s="159">
        <v>0.14000000000000001</v>
      </c>
      <c r="E13" s="93">
        <f>IF(' Grain Hauling Decision Tool'!$D$24="--Select--","",IF(D13&lt;' Grain Hauling Decision Tool'!$C$24,0,IF(' Grain Hauling Decision Tool'!$D$24="$ per bushel",(' Grain Hauling Decision Tool'!$F$24*((D13*100)-(' Grain Hauling Decision Tool'!$C$24*100))),IF(' Grain Hauling Decision Tool'!$D$24="% of weight/price",(' Grain Hauling Decision Tool'!$F$24*' Grain Hauling Decision Tool'!$E$18)*((D13*100)-(' Grain Hauling Decision Tool'!$C$24*100)),IF(' Grain Hauling Decision Tool'!$D$24="Shrink + Dry",((' Grain Hauling Decision Tool'!$F$24*' Grain Hauling Decision Tool'!$E$18)+' Grain Hauling Decision Tool'!$H$24)*((D13*100)-(' Grain Hauling Decision Tool'!$C$24*100)))))))</f>
        <v>0</v>
      </c>
      <c r="F13" s="159">
        <v>0.14000000000000001</v>
      </c>
      <c r="G13" s="96">
        <f>IF(' Grain Hauling Decision Tool'!$D$25="--Select--","",IF(F13&lt;' Grain Hauling Decision Tool'!$C$25,0,IF(' Grain Hauling Decision Tool'!$D$25="$ per bushel",(' Grain Hauling Decision Tool'!$F$25*((F13*100)-(' Grain Hauling Decision Tool'!$C$25*100))),IF(' Grain Hauling Decision Tool'!$D$25="% of weight/price",(' Grain Hauling Decision Tool'!$F$25*' Grain Hauling Decision Tool'!$E$19)*((F13*100)-(' Grain Hauling Decision Tool'!$C$25*100)),IF(' Grain Hauling Decision Tool'!$D$25="Shrink + Dry",((' Grain Hauling Decision Tool'!$F$25*' Grain Hauling Decision Tool'!$E$19)+' Grain Hauling Decision Tool'!$H$25)*((F13*100)-(' Grain Hauling Decision Tool'!$C$25*100)))))))</f>
        <v>0</v>
      </c>
    </row>
    <row r="14" spans="2:7" x14ac:dyDescent="0.25">
      <c r="B14" s="156">
        <v>0.14499999999999999</v>
      </c>
      <c r="C14" s="94">
        <f>IF(' Grain Hauling Decision Tool'!$D$23="--Select--","",IF(B14&lt;' Grain Hauling Decision Tool'!$C$23,0,IF(' Grain Hauling Decision Tool'!$D$23="$ per bushel",(' Grain Hauling Decision Tool'!$F$23*((B14*100)-(' Grain Hauling Decision Tool'!$C$23*100))),IF(' Grain Hauling Decision Tool'!$D$23="% of weight/price",(' Grain Hauling Decision Tool'!$F$23*' Grain Hauling Decision Tool'!$E$17)*((B14*100)-(' Grain Hauling Decision Tool'!$C$23*100)),IF(' Grain Hauling Decision Tool'!$D$23="Shrink + Dry",((' Grain Hauling Decision Tool'!$F$23*' Grain Hauling Decision Tool'!$E$17)+' Grain Hauling Decision Tool'!$H$23)*((B14*100)-(' Grain Hauling Decision Tool'!$C$23*100)))))))</f>
        <v>0</v>
      </c>
      <c r="D14" s="157">
        <v>0.14499999999999999</v>
      </c>
      <c r="E14" s="94">
        <f>IF(' Grain Hauling Decision Tool'!$D$24="--Select--","",IF(D14&lt;' Grain Hauling Decision Tool'!$C$24,0,IF(' Grain Hauling Decision Tool'!$D$24="$ per bushel",(' Grain Hauling Decision Tool'!$F$24*((D14*100)-(' Grain Hauling Decision Tool'!$C$24*100))),IF(' Grain Hauling Decision Tool'!$D$24="% of weight/price",(' Grain Hauling Decision Tool'!$F$24*' Grain Hauling Decision Tool'!$E$18)*((D14*100)-(' Grain Hauling Decision Tool'!$C$24*100)),IF(' Grain Hauling Decision Tool'!$D$24="Shrink + Dry",((' Grain Hauling Decision Tool'!$F$24*' Grain Hauling Decision Tool'!$E$18)+' Grain Hauling Decision Tool'!$H$24)*((D14*100)-(' Grain Hauling Decision Tool'!$C$24*100)))))))</f>
        <v>0</v>
      </c>
      <c r="F14" s="157">
        <v>0.14499999999999999</v>
      </c>
      <c r="G14" s="97">
        <f>IF(' Grain Hauling Decision Tool'!$D$25="--Select--","",IF(F14&lt;' Grain Hauling Decision Tool'!$C$25,0,IF(' Grain Hauling Decision Tool'!$D$25="$ per bushel",(' Grain Hauling Decision Tool'!$F$25*((F14*100)-(' Grain Hauling Decision Tool'!$C$25*100))),IF(' Grain Hauling Decision Tool'!$D$25="% of weight/price",(' Grain Hauling Decision Tool'!$F$25*' Grain Hauling Decision Tool'!$E$19)*((F14*100)-(' Grain Hauling Decision Tool'!$C$25*100)),IF(' Grain Hauling Decision Tool'!$D$25="Shrink + Dry",((' Grain Hauling Decision Tool'!$F$25*' Grain Hauling Decision Tool'!$E$19)+' Grain Hauling Decision Tool'!$H$25)*((F14*100)-(' Grain Hauling Decision Tool'!$C$25*100)))))))</f>
        <v>5.849999999999958E-2</v>
      </c>
    </row>
    <row r="15" spans="2:7" x14ac:dyDescent="0.25">
      <c r="B15" s="158">
        <v>0.15</v>
      </c>
      <c r="C15" s="93">
        <f>IF(' Grain Hauling Decision Tool'!$D$23="--Select--","",IF(B15&lt;' Grain Hauling Decision Tool'!$C$23,0,IF(' Grain Hauling Decision Tool'!$D$23="$ per bushel",(' Grain Hauling Decision Tool'!$F$23*((B15*100)-(' Grain Hauling Decision Tool'!$C$23*100))),IF(' Grain Hauling Decision Tool'!$D$23="% of weight/price",(' Grain Hauling Decision Tool'!$F$23*' Grain Hauling Decision Tool'!$E$17)*((B15*100)-(' Grain Hauling Decision Tool'!$C$23*100)),IF(' Grain Hauling Decision Tool'!$D$23="Shrink + Dry",((' Grain Hauling Decision Tool'!$F$23*' Grain Hauling Decision Tool'!$E$17)+' Grain Hauling Decision Tool'!$H$23)*((B15*100)-(' Grain Hauling Decision Tool'!$C$23*100)))))))</f>
        <v>0</v>
      </c>
      <c r="D15" s="159">
        <v>0.15</v>
      </c>
      <c r="E15" s="93">
        <f>IF(' Grain Hauling Decision Tool'!$D$24="--Select--","",IF(D15&lt;' Grain Hauling Decision Tool'!$C$24,0,IF(' Grain Hauling Decision Tool'!$D$24="$ per bushel",(' Grain Hauling Decision Tool'!$F$24*((D15*100)-(' Grain Hauling Decision Tool'!$C$24*100))),IF(' Grain Hauling Decision Tool'!$D$24="% of weight/price",(' Grain Hauling Decision Tool'!$F$24*' Grain Hauling Decision Tool'!$E$18)*((D15*100)-(' Grain Hauling Decision Tool'!$C$24*100)),IF(' Grain Hauling Decision Tool'!$D$24="Shrink + Dry",((' Grain Hauling Decision Tool'!$F$24*' Grain Hauling Decision Tool'!$E$18)+' Grain Hauling Decision Tool'!$H$24)*((D15*100)-(' Grain Hauling Decision Tool'!$C$24*100)))))))</f>
        <v>2.5000000000000092E-2</v>
      </c>
      <c r="F15" s="159">
        <v>0.15</v>
      </c>
      <c r="G15" s="96">
        <f>IF(' Grain Hauling Decision Tool'!$D$25="--Select--","",IF(F15&lt;' Grain Hauling Decision Tool'!$C$25,0,IF(' Grain Hauling Decision Tool'!$D$25="$ per bushel",(' Grain Hauling Decision Tool'!$F$25*((F15*100)-(' Grain Hauling Decision Tool'!$C$25*100))),IF(' Grain Hauling Decision Tool'!$D$25="% of weight/price",(' Grain Hauling Decision Tool'!$F$25*' Grain Hauling Decision Tool'!$E$19)*((F15*100)-(' Grain Hauling Decision Tool'!$C$25*100)),IF(' Grain Hauling Decision Tool'!$D$25="Shrink + Dry",((' Grain Hauling Decision Tool'!$F$25*' Grain Hauling Decision Tool'!$E$19)+' Grain Hauling Decision Tool'!$H$25)*((F15*100)-(' Grain Hauling Decision Tool'!$C$25*100)))))))</f>
        <v>0.11699999999999978</v>
      </c>
    </row>
    <row r="16" spans="2:7" x14ac:dyDescent="0.25">
      <c r="B16" s="156">
        <v>0.155</v>
      </c>
      <c r="C16" s="94">
        <f>IF(' Grain Hauling Decision Tool'!$D$23="--Select--","",IF(B16&lt;' Grain Hauling Decision Tool'!$C$23,0,IF(' Grain Hauling Decision Tool'!$D$23="$ per bushel",(' Grain Hauling Decision Tool'!$F$23*((B16*100)-(' Grain Hauling Decision Tool'!$C$23*100))),IF(' Grain Hauling Decision Tool'!$D$23="% of weight/price",(' Grain Hauling Decision Tool'!$F$23*' Grain Hauling Decision Tool'!$E$17)*((B16*100)-(' Grain Hauling Decision Tool'!$C$23*100)),IF(' Grain Hauling Decision Tool'!$D$23="Shrink + Dry",((' Grain Hauling Decision Tool'!$F$23*' Grain Hauling Decision Tool'!$E$17)+' Grain Hauling Decision Tool'!$H$23)*((B16*100)-(' Grain Hauling Decision Tool'!$C$23*100)))))))</f>
        <v>0</v>
      </c>
      <c r="D16" s="157">
        <v>0.155</v>
      </c>
      <c r="E16" s="94">
        <f>IF(' Grain Hauling Decision Tool'!$D$24="--Select--","",IF(D16&lt;' Grain Hauling Decision Tool'!$C$24,0,IF(' Grain Hauling Decision Tool'!$D$24="$ per bushel",(' Grain Hauling Decision Tool'!$F$24*((D16*100)-(' Grain Hauling Decision Tool'!$C$24*100))),IF(' Grain Hauling Decision Tool'!$D$24="% of weight/price",(' Grain Hauling Decision Tool'!$F$24*' Grain Hauling Decision Tool'!$E$18)*((D16*100)-(' Grain Hauling Decision Tool'!$C$24*100)),IF(' Grain Hauling Decision Tool'!$D$24="Shrink + Dry",((' Grain Hauling Decision Tool'!$F$24*' Grain Hauling Decision Tool'!$E$18)+' Grain Hauling Decision Tool'!$H$24)*((D16*100)-(' Grain Hauling Decision Tool'!$C$24*100)))))))</f>
        <v>5.0000000000000093E-2</v>
      </c>
      <c r="F16" s="157">
        <v>0.155</v>
      </c>
      <c r="G16" s="97">
        <f>IF(' Grain Hauling Decision Tool'!$D$25="--Select--","",IF(F16&lt;' Grain Hauling Decision Tool'!$C$25,0,IF(' Grain Hauling Decision Tool'!$D$25="$ per bushel",(' Grain Hauling Decision Tool'!$F$25*((F16*100)-(' Grain Hauling Decision Tool'!$C$25*100))),IF(' Grain Hauling Decision Tool'!$D$25="% of weight/price",(' Grain Hauling Decision Tool'!$F$25*' Grain Hauling Decision Tool'!$E$19)*((F16*100)-(' Grain Hauling Decision Tool'!$C$25*100)),IF(' Grain Hauling Decision Tool'!$D$25="Shrink + Dry",((' Grain Hauling Decision Tool'!$F$25*' Grain Hauling Decision Tool'!$E$19)+' Grain Hauling Decision Tool'!$H$25)*((F16*100)-(' Grain Hauling Decision Tool'!$C$25*100)))))))</f>
        <v>0.1754999999999998</v>
      </c>
    </row>
    <row r="17" spans="2:7" x14ac:dyDescent="0.25">
      <c r="B17" s="158">
        <v>0.16</v>
      </c>
      <c r="C17" s="93">
        <f>IF(' Grain Hauling Decision Tool'!$D$23="--Select--","",IF(B17&lt;' Grain Hauling Decision Tool'!$C$23,0,IF(' Grain Hauling Decision Tool'!$D$23="$ per bushel",(' Grain Hauling Decision Tool'!$F$23*((B17*100)-(' Grain Hauling Decision Tool'!$C$23*100))),IF(' Grain Hauling Decision Tool'!$D$23="% of weight/price",(' Grain Hauling Decision Tool'!$F$23*' Grain Hauling Decision Tool'!$E$17)*((B17*100)-(' Grain Hauling Decision Tool'!$C$23*100)),IF(' Grain Hauling Decision Tool'!$D$23="Shrink + Dry",((' Grain Hauling Decision Tool'!$F$23*' Grain Hauling Decision Tool'!$E$17)+' Grain Hauling Decision Tool'!$H$23)*((B17*100)-(' Grain Hauling Decision Tool'!$C$23*100)))))))</f>
        <v>2.6950000000000002E-2</v>
      </c>
      <c r="D17" s="159">
        <v>0.16</v>
      </c>
      <c r="E17" s="93">
        <f>IF(' Grain Hauling Decision Tool'!$D$24="--Select--","",IF(D17&lt;' Grain Hauling Decision Tool'!$C$24,0,IF(' Grain Hauling Decision Tool'!$D$24="$ per bushel",(' Grain Hauling Decision Tool'!$F$24*((D17*100)-(' Grain Hauling Decision Tool'!$C$24*100))),IF(' Grain Hauling Decision Tool'!$D$24="% of weight/price",(' Grain Hauling Decision Tool'!$F$24*' Grain Hauling Decision Tool'!$E$18)*((D17*100)-(' Grain Hauling Decision Tool'!$C$24*100)),IF(' Grain Hauling Decision Tool'!$D$24="Shrink + Dry",((' Grain Hauling Decision Tool'!$F$24*' Grain Hauling Decision Tool'!$E$18)+' Grain Hauling Decision Tool'!$H$24)*((D17*100)-(' Grain Hauling Decision Tool'!$C$24*100)))))))</f>
        <v>7.5000000000000094E-2</v>
      </c>
      <c r="F17" s="159">
        <v>0.16</v>
      </c>
      <c r="G17" s="96">
        <f>IF(' Grain Hauling Decision Tool'!$D$25="--Select--","",IF(F17&lt;' Grain Hauling Decision Tool'!$C$25,0,IF(' Grain Hauling Decision Tool'!$D$25="$ per bushel",(' Grain Hauling Decision Tool'!$F$25*((F17*100)-(' Grain Hauling Decision Tool'!$C$25*100))),IF(' Grain Hauling Decision Tool'!$D$25="% of weight/price",(' Grain Hauling Decision Tool'!$F$25*' Grain Hauling Decision Tool'!$E$19)*((F17*100)-(' Grain Hauling Decision Tool'!$C$25*100)),IF(' Grain Hauling Decision Tool'!$D$25="Shrink + Dry",((' Grain Hauling Decision Tool'!$F$25*' Grain Hauling Decision Tool'!$E$19)+' Grain Hauling Decision Tool'!$H$25)*((F17*100)-(' Grain Hauling Decision Tool'!$C$25*100)))))))</f>
        <v>0.23399999999999979</v>
      </c>
    </row>
    <row r="18" spans="2:7" x14ac:dyDescent="0.25">
      <c r="B18" s="156">
        <v>0.16500000000000001</v>
      </c>
      <c r="C18" s="94">
        <f>IF(' Grain Hauling Decision Tool'!$D$23="--Select--","",IF(B18&lt;' Grain Hauling Decision Tool'!$C$23,0,IF(' Grain Hauling Decision Tool'!$D$23="$ per bushel",(' Grain Hauling Decision Tool'!$F$23*((B18*100)-(' Grain Hauling Decision Tool'!$C$23*100))),IF(' Grain Hauling Decision Tool'!$D$23="% of weight/price",(' Grain Hauling Decision Tool'!$F$23*' Grain Hauling Decision Tool'!$E$17)*((B18*100)-(' Grain Hauling Decision Tool'!$C$23*100)),IF(' Grain Hauling Decision Tool'!$D$23="Shrink + Dry",((' Grain Hauling Decision Tool'!$F$23*' Grain Hauling Decision Tool'!$E$17)+' Grain Hauling Decision Tool'!$H$23)*((B18*100)-(' Grain Hauling Decision Tool'!$C$23*100)))))))</f>
        <v>5.3900000000000003E-2</v>
      </c>
      <c r="D18" s="157">
        <v>0.16500000000000001</v>
      </c>
      <c r="E18" s="94">
        <f>IF(' Grain Hauling Decision Tool'!$D$24="--Select--","",IF(D18&lt;' Grain Hauling Decision Tool'!$C$24,0,IF(' Grain Hauling Decision Tool'!$D$24="$ per bushel",(' Grain Hauling Decision Tool'!$F$24*((D18*100)-(' Grain Hauling Decision Tool'!$C$24*100))),IF(' Grain Hauling Decision Tool'!$D$24="% of weight/price",(' Grain Hauling Decision Tool'!$F$24*' Grain Hauling Decision Tool'!$E$18)*((D18*100)-(' Grain Hauling Decision Tool'!$C$24*100)),IF(' Grain Hauling Decision Tool'!$D$24="Shrink + Dry",((' Grain Hauling Decision Tool'!$F$24*' Grain Hauling Decision Tool'!$E$18)+' Grain Hauling Decision Tool'!$H$24)*((D18*100)-(' Grain Hauling Decision Tool'!$C$24*100)))))))</f>
        <v>0.10000000000000009</v>
      </c>
      <c r="F18" s="157">
        <v>0.16500000000000001</v>
      </c>
      <c r="G18" s="97">
        <f>IF(' Grain Hauling Decision Tool'!$D$25="--Select--","",IF(F18&lt;' Grain Hauling Decision Tool'!$C$25,0,IF(' Grain Hauling Decision Tool'!$D$25="$ per bushel",(' Grain Hauling Decision Tool'!$F$25*((F18*100)-(' Grain Hauling Decision Tool'!$C$25*100))),IF(' Grain Hauling Decision Tool'!$D$25="% of weight/price",(' Grain Hauling Decision Tool'!$F$25*' Grain Hauling Decision Tool'!$E$19)*((F18*100)-(' Grain Hauling Decision Tool'!$C$25*100)),IF(' Grain Hauling Decision Tool'!$D$25="Shrink + Dry",((' Grain Hauling Decision Tool'!$F$25*' Grain Hauling Decision Tool'!$E$19)+' Grain Hauling Decision Tool'!$H$25)*((F18*100)-(' Grain Hauling Decision Tool'!$C$25*100)))))))</f>
        <v>0.29249999999999976</v>
      </c>
    </row>
    <row r="19" spans="2:7" x14ac:dyDescent="0.25">
      <c r="B19" s="158">
        <v>0.17</v>
      </c>
      <c r="C19" s="93">
        <f>IF(' Grain Hauling Decision Tool'!$D$23="--Select--","",IF(B19&lt;' Grain Hauling Decision Tool'!$C$23,0,IF(' Grain Hauling Decision Tool'!$D$23="$ per bushel",(' Grain Hauling Decision Tool'!$F$23*((B19*100)-(' Grain Hauling Decision Tool'!$C$23*100))),IF(' Grain Hauling Decision Tool'!$D$23="% of weight/price",(' Grain Hauling Decision Tool'!$F$23*' Grain Hauling Decision Tool'!$E$17)*((B19*100)-(' Grain Hauling Decision Tool'!$C$23*100)),IF(' Grain Hauling Decision Tool'!$D$23="Shrink + Dry",((' Grain Hauling Decision Tool'!$F$23*' Grain Hauling Decision Tool'!$E$17)+' Grain Hauling Decision Tool'!$H$23)*((B19*100)-(' Grain Hauling Decision Tool'!$C$23*100)))))))</f>
        <v>8.0850000000000005E-2</v>
      </c>
      <c r="D19" s="159">
        <v>0.17</v>
      </c>
      <c r="E19" s="93">
        <f>IF(' Grain Hauling Decision Tool'!$D$24="--Select--","",IF(D19&lt;' Grain Hauling Decision Tool'!$C$24,0,IF(' Grain Hauling Decision Tool'!$D$24="$ per bushel",(' Grain Hauling Decision Tool'!$F$24*((D19*100)-(' Grain Hauling Decision Tool'!$C$24*100))),IF(' Grain Hauling Decision Tool'!$D$24="% of weight/price",(' Grain Hauling Decision Tool'!$F$24*' Grain Hauling Decision Tool'!$E$18)*((D19*100)-(' Grain Hauling Decision Tool'!$C$24*100)),IF(' Grain Hauling Decision Tool'!$D$24="Shrink + Dry",((' Grain Hauling Decision Tool'!$F$24*' Grain Hauling Decision Tool'!$E$18)+' Grain Hauling Decision Tool'!$H$24)*((D19*100)-(' Grain Hauling Decision Tool'!$C$24*100)))))))</f>
        <v>0.12500000000000008</v>
      </c>
      <c r="F19" s="159">
        <v>0.17</v>
      </c>
      <c r="G19" s="96">
        <f>IF(' Grain Hauling Decision Tool'!$D$25="--Select--","",IF(F19&lt;' Grain Hauling Decision Tool'!$C$25,0,IF(' Grain Hauling Decision Tool'!$D$25="$ per bushel",(' Grain Hauling Decision Tool'!$F$25*((F19*100)-(' Grain Hauling Decision Tool'!$C$25*100))),IF(' Grain Hauling Decision Tool'!$D$25="% of weight/price",(' Grain Hauling Decision Tool'!$F$25*' Grain Hauling Decision Tool'!$E$19)*((F19*100)-(' Grain Hauling Decision Tool'!$C$25*100)),IF(' Grain Hauling Decision Tool'!$D$25="Shrink + Dry",((' Grain Hauling Decision Tool'!$F$25*' Grain Hauling Decision Tool'!$E$19)+' Grain Hauling Decision Tool'!$H$25)*((F19*100)-(' Grain Hauling Decision Tool'!$C$25*100)))))))</f>
        <v>0.35099999999999976</v>
      </c>
    </row>
    <row r="20" spans="2:7" x14ac:dyDescent="0.25">
      <c r="B20" s="156">
        <v>0.17499999999999999</v>
      </c>
      <c r="C20" s="94">
        <f>IF(' Grain Hauling Decision Tool'!$D$23="--Select--","",IF(B20&lt;' Grain Hauling Decision Tool'!$C$23,0,IF(' Grain Hauling Decision Tool'!$D$23="$ per bushel",(' Grain Hauling Decision Tool'!$F$23*((B20*100)-(' Grain Hauling Decision Tool'!$C$23*100))),IF(' Grain Hauling Decision Tool'!$D$23="% of weight/price",(' Grain Hauling Decision Tool'!$F$23*' Grain Hauling Decision Tool'!$E$17)*((B20*100)-(' Grain Hauling Decision Tool'!$C$23*100)),IF(' Grain Hauling Decision Tool'!$D$23="Shrink + Dry",((' Grain Hauling Decision Tool'!$F$23*' Grain Hauling Decision Tool'!$E$17)+' Grain Hauling Decision Tool'!$H$23)*((B20*100)-(' Grain Hauling Decision Tool'!$C$23*100)))))))</f>
        <v>0.10780000000000001</v>
      </c>
      <c r="D20" s="157">
        <v>0.17499999999999999</v>
      </c>
      <c r="E20" s="94">
        <f>IF(' Grain Hauling Decision Tool'!$D$24="--Select--","",IF(D20&lt;' Grain Hauling Decision Tool'!$C$24,0,IF(' Grain Hauling Decision Tool'!$D$24="$ per bushel",(' Grain Hauling Decision Tool'!$F$24*((D20*100)-(' Grain Hauling Decision Tool'!$C$24*100))),IF(' Grain Hauling Decision Tool'!$D$24="% of weight/price",(' Grain Hauling Decision Tool'!$F$24*' Grain Hauling Decision Tool'!$E$18)*((D20*100)-(' Grain Hauling Decision Tool'!$C$24*100)),IF(' Grain Hauling Decision Tool'!$D$24="Shrink + Dry",((' Grain Hauling Decision Tool'!$F$24*' Grain Hauling Decision Tool'!$E$18)+' Grain Hauling Decision Tool'!$H$24)*((D20*100)-(' Grain Hauling Decision Tool'!$C$24*100)))))))</f>
        <v>0.15000000000000011</v>
      </c>
      <c r="F20" s="157">
        <v>0.17499999999999999</v>
      </c>
      <c r="G20" s="97">
        <f>IF(' Grain Hauling Decision Tool'!$D$25="--Select--","",IF(F20&lt;' Grain Hauling Decision Tool'!$C$25,0,IF(' Grain Hauling Decision Tool'!$D$25="$ per bushel",(' Grain Hauling Decision Tool'!$F$25*((F20*100)-(' Grain Hauling Decision Tool'!$C$25*100))),IF(' Grain Hauling Decision Tool'!$D$25="% of weight/price",(' Grain Hauling Decision Tool'!$F$25*' Grain Hauling Decision Tool'!$E$19)*((F20*100)-(' Grain Hauling Decision Tool'!$C$25*100)),IF(' Grain Hauling Decision Tool'!$D$25="Shrink + Dry",((' Grain Hauling Decision Tool'!$F$25*' Grain Hauling Decision Tool'!$E$19)+' Grain Hauling Decision Tool'!$H$25)*((F20*100)-(' Grain Hauling Decision Tool'!$C$25*100)))))))</f>
        <v>0.40949999999999975</v>
      </c>
    </row>
    <row r="21" spans="2:7" x14ac:dyDescent="0.25">
      <c r="B21" s="158">
        <v>0.18</v>
      </c>
      <c r="C21" s="93">
        <f>IF(' Grain Hauling Decision Tool'!$D$23="--Select--","",IF(B21&lt;' Grain Hauling Decision Tool'!$C$23,0,IF(' Grain Hauling Decision Tool'!$D$23="$ per bushel",(' Grain Hauling Decision Tool'!$F$23*((B21*100)-(' Grain Hauling Decision Tool'!$C$23*100))),IF(' Grain Hauling Decision Tool'!$D$23="% of weight/price",(' Grain Hauling Decision Tool'!$F$23*' Grain Hauling Decision Tool'!$E$17)*((B21*100)-(' Grain Hauling Decision Tool'!$C$23*100)),IF(' Grain Hauling Decision Tool'!$D$23="Shrink + Dry",((' Grain Hauling Decision Tool'!$F$23*' Grain Hauling Decision Tool'!$E$17)+' Grain Hauling Decision Tool'!$H$23)*((B21*100)-(' Grain Hauling Decision Tool'!$C$23*100)))))))</f>
        <v>0.13475000000000001</v>
      </c>
      <c r="D21" s="159">
        <v>0.18</v>
      </c>
      <c r="E21" s="93">
        <f>IF(' Grain Hauling Decision Tool'!$D$24="--Select--","",IF(D21&lt;' Grain Hauling Decision Tool'!$C$24,0,IF(' Grain Hauling Decision Tool'!$D$24="$ per bushel",(' Grain Hauling Decision Tool'!$F$24*((D21*100)-(' Grain Hauling Decision Tool'!$C$24*100))),IF(' Grain Hauling Decision Tool'!$D$24="% of weight/price",(' Grain Hauling Decision Tool'!$F$24*' Grain Hauling Decision Tool'!$E$18)*((D21*100)-(' Grain Hauling Decision Tool'!$C$24*100)),IF(' Grain Hauling Decision Tool'!$D$24="Shrink + Dry",((' Grain Hauling Decision Tool'!$F$24*' Grain Hauling Decision Tool'!$E$18)+' Grain Hauling Decision Tool'!$H$24)*((D21*100)-(' Grain Hauling Decision Tool'!$C$24*100)))))))</f>
        <v>0.1750000000000001</v>
      </c>
      <c r="F21" s="159">
        <v>0.18</v>
      </c>
      <c r="G21" s="96">
        <f>IF(' Grain Hauling Decision Tool'!$D$25="--Select--","",IF(F21&lt;' Grain Hauling Decision Tool'!$C$25,0,IF(' Grain Hauling Decision Tool'!$D$25="$ per bushel",(' Grain Hauling Decision Tool'!$F$25*((F21*100)-(' Grain Hauling Decision Tool'!$C$25*100))),IF(' Grain Hauling Decision Tool'!$D$25="% of weight/price",(' Grain Hauling Decision Tool'!$F$25*' Grain Hauling Decision Tool'!$E$19)*((F21*100)-(' Grain Hauling Decision Tool'!$C$25*100)),IF(' Grain Hauling Decision Tool'!$D$25="Shrink + Dry",((' Grain Hauling Decision Tool'!$F$25*' Grain Hauling Decision Tool'!$E$19)+' Grain Hauling Decision Tool'!$H$25)*((F21*100)-(' Grain Hauling Decision Tool'!$C$25*100)))))))</f>
        <v>0.46799999999999975</v>
      </c>
    </row>
    <row r="22" spans="2:7" x14ac:dyDescent="0.25">
      <c r="B22" s="156">
        <v>0.185</v>
      </c>
      <c r="C22" s="94">
        <f>IF(' Grain Hauling Decision Tool'!$D$23="--Select--","",IF(B22&lt;' Grain Hauling Decision Tool'!$C$23,0,IF(' Grain Hauling Decision Tool'!$D$23="$ per bushel",(' Grain Hauling Decision Tool'!$F$23*((B22*100)-(' Grain Hauling Decision Tool'!$C$23*100))),IF(' Grain Hauling Decision Tool'!$D$23="% of weight/price",(' Grain Hauling Decision Tool'!$F$23*' Grain Hauling Decision Tool'!$E$17)*((B22*100)-(' Grain Hauling Decision Tool'!$C$23*100)),IF(' Grain Hauling Decision Tool'!$D$23="Shrink + Dry",((' Grain Hauling Decision Tool'!$F$23*' Grain Hauling Decision Tool'!$E$17)+' Grain Hauling Decision Tool'!$H$23)*((B22*100)-(' Grain Hauling Decision Tool'!$C$23*100)))))))</f>
        <v>0.16170000000000001</v>
      </c>
      <c r="D22" s="157">
        <v>0.185</v>
      </c>
      <c r="E22" s="94">
        <f>IF(' Grain Hauling Decision Tool'!$D$24="--Select--","",IF(D22&lt;' Grain Hauling Decision Tool'!$C$24,0,IF(' Grain Hauling Decision Tool'!$D$24="$ per bushel",(' Grain Hauling Decision Tool'!$F$24*((D22*100)-(' Grain Hauling Decision Tool'!$C$24*100))),IF(' Grain Hauling Decision Tool'!$D$24="% of weight/price",(' Grain Hauling Decision Tool'!$F$24*' Grain Hauling Decision Tool'!$E$18)*((D22*100)-(' Grain Hauling Decision Tool'!$C$24*100)),IF(' Grain Hauling Decision Tool'!$D$24="Shrink + Dry",((' Grain Hauling Decision Tool'!$F$24*' Grain Hauling Decision Tool'!$E$18)+' Grain Hauling Decision Tool'!$H$24)*((D22*100)-(' Grain Hauling Decision Tool'!$C$24*100)))))))</f>
        <v>0.20000000000000009</v>
      </c>
      <c r="F22" s="157">
        <v>0.185</v>
      </c>
      <c r="G22" s="97">
        <f>IF(' Grain Hauling Decision Tool'!$D$25="--Select--","",IF(F22&lt;' Grain Hauling Decision Tool'!$C$25,0,IF(' Grain Hauling Decision Tool'!$D$25="$ per bushel",(' Grain Hauling Decision Tool'!$F$25*((F22*100)-(' Grain Hauling Decision Tool'!$C$25*100))),IF(' Grain Hauling Decision Tool'!$D$25="% of weight/price",(' Grain Hauling Decision Tool'!$F$25*' Grain Hauling Decision Tool'!$E$19)*((F22*100)-(' Grain Hauling Decision Tool'!$C$25*100)),IF(' Grain Hauling Decision Tool'!$D$25="Shrink + Dry",((' Grain Hauling Decision Tool'!$F$25*' Grain Hauling Decision Tool'!$E$19)+' Grain Hauling Decision Tool'!$H$25)*((F22*100)-(' Grain Hauling Decision Tool'!$C$25*100)))))))</f>
        <v>0.52649999999999975</v>
      </c>
    </row>
    <row r="23" spans="2:7" x14ac:dyDescent="0.25">
      <c r="B23" s="158">
        <v>0.19</v>
      </c>
      <c r="C23" s="93">
        <f>IF(' Grain Hauling Decision Tool'!$D$23="--Select--","",IF(B23&lt;' Grain Hauling Decision Tool'!$C$23,0,IF(' Grain Hauling Decision Tool'!$D$23="$ per bushel",(' Grain Hauling Decision Tool'!$F$23*((B23*100)-(' Grain Hauling Decision Tool'!$C$23*100))),IF(' Grain Hauling Decision Tool'!$D$23="% of weight/price",(' Grain Hauling Decision Tool'!$F$23*' Grain Hauling Decision Tool'!$E$17)*((B23*100)-(' Grain Hauling Decision Tool'!$C$23*100)),IF(' Grain Hauling Decision Tool'!$D$23="Shrink + Dry",((' Grain Hauling Decision Tool'!$F$23*' Grain Hauling Decision Tool'!$E$17)+' Grain Hauling Decision Tool'!$H$23)*((B23*100)-(' Grain Hauling Decision Tool'!$C$23*100)))))))</f>
        <v>0.18865000000000001</v>
      </c>
      <c r="D23" s="159">
        <v>0.19</v>
      </c>
      <c r="E23" s="93">
        <f>IF(' Grain Hauling Decision Tool'!$D$24="--Select--","",IF(D23&lt;' Grain Hauling Decision Tool'!$C$24,0,IF(' Grain Hauling Decision Tool'!$D$24="$ per bushel",(' Grain Hauling Decision Tool'!$F$24*((D23*100)-(' Grain Hauling Decision Tool'!$C$24*100))),IF(' Grain Hauling Decision Tool'!$D$24="% of weight/price",(' Grain Hauling Decision Tool'!$F$24*' Grain Hauling Decision Tool'!$E$18)*((D23*100)-(' Grain Hauling Decision Tool'!$C$24*100)),IF(' Grain Hauling Decision Tool'!$D$24="Shrink + Dry",((' Grain Hauling Decision Tool'!$F$24*' Grain Hauling Decision Tool'!$E$18)+' Grain Hauling Decision Tool'!$H$24)*((D23*100)-(' Grain Hauling Decision Tool'!$C$24*100)))))))</f>
        <v>0.22500000000000009</v>
      </c>
      <c r="F23" s="159">
        <v>0.19</v>
      </c>
      <c r="G23" s="96">
        <f>IF(' Grain Hauling Decision Tool'!$D$25="--Select--","",IF(F23&lt;' Grain Hauling Decision Tool'!$C$25,0,IF(' Grain Hauling Decision Tool'!$D$25="$ per bushel",(' Grain Hauling Decision Tool'!$F$25*((F23*100)-(' Grain Hauling Decision Tool'!$C$25*100))),IF(' Grain Hauling Decision Tool'!$D$25="% of weight/price",(' Grain Hauling Decision Tool'!$F$25*' Grain Hauling Decision Tool'!$E$19)*((F23*100)-(' Grain Hauling Decision Tool'!$C$25*100)),IF(' Grain Hauling Decision Tool'!$D$25="Shrink + Dry",((' Grain Hauling Decision Tool'!$F$25*' Grain Hauling Decision Tool'!$E$19)+' Grain Hauling Decision Tool'!$H$25)*((F23*100)-(' Grain Hauling Decision Tool'!$C$25*100)))))))</f>
        <v>0.58499999999999974</v>
      </c>
    </row>
    <row r="24" spans="2:7" x14ac:dyDescent="0.25">
      <c r="B24" s="156">
        <v>0.19500000000000001</v>
      </c>
      <c r="C24" s="94">
        <f>IF(' Grain Hauling Decision Tool'!$D$23="--Select--","",IF(B24&lt;' Grain Hauling Decision Tool'!$C$23,0,IF(' Grain Hauling Decision Tool'!$D$23="$ per bushel",(' Grain Hauling Decision Tool'!$F$23*((B24*100)-(' Grain Hauling Decision Tool'!$C$23*100))),IF(' Grain Hauling Decision Tool'!$D$23="% of weight/price",(' Grain Hauling Decision Tool'!$F$23*' Grain Hauling Decision Tool'!$E$17)*((B24*100)-(' Grain Hauling Decision Tool'!$C$23*100)),IF(' Grain Hauling Decision Tool'!$D$23="Shrink + Dry",((' Grain Hauling Decision Tool'!$F$23*' Grain Hauling Decision Tool'!$E$17)+' Grain Hauling Decision Tool'!$H$23)*((B24*100)-(' Grain Hauling Decision Tool'!$C$23*100)))))))</f>
        <v>0.21560000000000001</v>
      </c>
      <c r="D24" s="157">
        <v>0.19500000000000001</v>
      </c>
      <c r="E24" s="94">
        <f>IF(' Grain Hauling Decision Tool'!$D$24="--Select--","",IF(D24&lt;' Grain Hauling Decision Tool'!$C$24,0,IF(' Grain Hauling Decision Tool'!$D$24="$ per bushel",(' Grain Hauling Decision Tool'!$F$24*((D24*100)-(' Grain Hauling Decision Tool'!$C$24*100))),IF(' Grain Hauling Decision Tool'!$D$24="% of weight/price",(' Grain Hauling Decision Tool'!$F$24*' Grain Hauling Decision Tool'!$E$18)*((D24*100)-(' Grain Hauling Decision Tool'!$C$24*100)),IF(' Grain Hauling Decision Tool'!$D$24="Shrink + Dry",((' Grain Hauling Decision Tool'!$F$24*' Grain Hauling Decision Tool'!$E$18)+' Grain Hauling Decision Tool'!$H$24)*((D24*100)-(' Grain Hauling Decision Tool'!$C$24*100)))))))</f>
        <v>0.25000000000000011</v>
      </c>
      <c r="F24" s="157">
        <v>0.19500000000000001</v>
      </c>
      <c r="G24" s="97">
        <f>IF(' Grain Hauling Decision Tool'!$D$25="--Select--","",IF(F24&lt;' Grain Hauling Decision Tool'!$C$25,0,IF(' Grain Hauling Decision Tool'!$D$25="$ per bushel",(' Grain Hauling Decision Tool'!$F$25*((F24*100)-(' Grain Hauling Decision Tool'!$C$25*100))),IF(' Grain Hauling Decision Tool'!$D$25="% of weight/price",(' Grain Hauling Decision Tool'!$F$25*' Grain Hauling Decision Tool'!$E$19)*((F24*100)-(' Grain Hauling Decision Tool'!$C$25*100)),IF(' Grain Hauling Decision Tool'!$D$25="Shrink + Dry",((' Grain Hauling Decision Tool'!$F$25*' Grain Hauling Decision Tool'!$E$19)+' Grain Hauling Decision Tool'!$H$25)*((F24*100)-(' Grain Hauling Decision Tool'!$C$25*100)))))))</f>
        <v>0.64349999999999974</v>
      </c>
    </row>
    <row r="25" spans="2:7" x14ac:dyDescent="0.25">
      <c r="B25" s="158">
        <v>0.2</v>
      </c>
      <c r="C25" s="93">
        <f>IF(' Grain Hauling Decision Tool'!$D$23="--Select--","",IF(B25&lt;' Grain Hauling Decision Tool'!$C$23,0,IF(' Grain Hauling Decision Tool'!$D$23="$ per bushel",(' Grain Hauling Decision Tool'!$F$23*((B25*100)-(' Grain Hauling Decision Tool'!$C$23*100))),IF(' Grain Hauling Decision Tool'!$D$23="% of weight/price",(' Grain Hauling Decision Tool'!$F$23*' Grain Hauling Decision Tool'!$E$17)*((B25*100)-(' Grain Hauling Decision Tool'!$C$23*100)),IF(' Grain Hauling Decision Tool'!$D$23="Shrink + Dry",((' Grain Hauling Decision Tool'!$F$23*' Grain Hauling Decision Tool'!$E$17)+' Grain Hauling Decision Tool'!$H$23)*((B25*100)-(' Grain Hauling Decision Tool'!$C$23*100)))))))</f>
        <v>0.24255000000000002</v>
      </c>
      <c r="D25" s="159">
        <v>0.2</v>
      </c>
      <c r="E25" s="93">
        <f>IF(' Grain Hauling Decision Tool'!$D$24="--Select--","",IF(D25&lt;' Grain Hauling Decision Tool'!$C$24,0,IF(' Grain Hauling Decision Tool'!$D$24="$ per bushel",(' Grain Hauling Decision Tool'!$F$24*((D25*100)-(' Grain Hauling Decision Tool'!$C$24*100))),IF(' Grain Hauling Decision Tool'!$D$24="% of weight/price",(' Grain Hauling Decision Tool'!$F$24*' Grain Hauling Decision Tool'!$E$18)*((D25*100)-(' Grain Hauling Decision Tool'!$C$24*100)),IF(' Grain Hauling Decision Tool'!$D$24="Shrink + Dry",((' Grain Hauling Decision Tool'!$F$24*' Grain Hauling Decision Tool'!$E$18)+' Grain Hauling Decision Tool'!$H$24)*((D25*100)-(' Grain Hauling Decision Tool'!$C$24*100)))))))</f>
        <v>0.27500000000000008</v>
      </c>
      <c r="F25" s="159">
        <v>0.2</v>
      </c>
      <c r="G25" s="96">
        <f>IF(' Grain Hauling Decision Tool'!$D$25="--Select--","",IF(F25&lt;' Grain Hauling Decision Tool'!$C$25,0,IF(' Grain Hauling Decision Tool'!$D$25="$ per bushel",(' Grain Hauling Decision Tool'!$F$25*((F25*100)-(' Grain Hauling Decision Tool'!$C$25*100))),IF(' Grain Hauling Decision Tool'!$D$25="% of weight/price",(' Grain Hauling Decision Tool'!$F$25*' Grain Hauling Decision Tool'!$E$19)*((F25*100)-(' Grain Hauling Decision Tool'!$C$25*100)),IF(' Grain Hauling Decision Tool'!$D$25="Shrink + Dry",((' Grain Hauling Decision Tool'!$F$25*' Grain Hauling Decision Tool'!$E$19)+' Grain Hauling Decision Tool'!$H$25)*((F25*100)-(' Grain Hauling Decision Tool'!$C$25*100)))))))</f>
        <v>0.70199999999999974</v>
      </c>
    </row>
    <row r="26" spans="2:7" x14ac:dyDescent="0.25">
      <c r="B26" s="156">
        <v>0.20499999999999999</v>
      </c>
      <c r="C26" s="94">
        <f>IF(' Grain Hauling Decision Tool'!$D$23="--Select--","",IF(B26&lt;' Grain Hauling Decision Tool'!$C$23,0,IF(' Grain Hauling Decision Tool'!$D$23="$ per bushel",(' Grain Hauling Decision Tool'!$F$23*((B26*100)-(' Grain Hauling Decision Tool'!$C$23*100))),IF(' Grain Hauling Decision Tool'!$D$23="% of weight/price",(' Grain Hauling Decision Tool'!$F$23*' Grain Hauling Decision Tool'!$E$17)*((B26*100)-(' Grain Hauling Decision Tool'!$C$23*100)),IF(' Grain Hauling Decision Tool'!$D$23="Shrink + Dry",((' Grain Hauling Decision Tool'!$F$23*' Grain Hauling Decision Tool'!$E$17)+' Grain Hauling Decision Tool'!$H$23)*((B26*100)-(' Grain Hauling Decision Tool'!$C$23*100)))))))</f>
        <v>0.26950000000000002</v>
      </c>
      <c r="D26" s="157">
        <v>0.20499999999999999</v>
      </c>
      <c r="E26" s="94">
        <f>IF(' Grain Hauling Decision Tool'!$D$24="--Select--","",IF(D26&lt;' Grain Hauling Decision Tool'!$C$24,0,IF(' Grain Hauling Decision Tool'!$D$24="$ per bushel",(' Grain Hauling Decision Tool'!$F$24*((D26*100)-(' Grain Hauling Decision Tool'!$C$24*100))),IF(' Grain Hauling Decision Tool'!$D$24="% of weight/price",(' Grain Hauling Decision Tool'!$F$24*' Grain Hauling Decision Tool'!$E$18)*((D26*100)-(' Grain Hauling Decision Tool'!$C$24*100)),IF(' Grain Hauling Decision Tool'!$D$24="Shrink + Dry",((' Grain Hauling Decision Tool'!$F$24*' Grain Hauling Decision Tool'!$E$18)+' Grain Hauling Decision Tool'!$H$24)*((D26*100)-(' Grain Hauling Decision Tool'!$C$24*100)))))))</f>
        <v>0.3000000000000001</v>
      </c>
      <c r="F26" s="157">
        <v>0.20499999999999999</v>
      </c>
      <c r="G26" s="97">
        <f>IF(' Grain Hauling Decision Tool'!$D$25="--Select--","",IF(F26&lt;' Grain Hauling Decision Tool'!$C$25,0,IF(' Grain Hauling Decision Tool'!$D$25="$ per bushel",(' Grain Hauling Decision Tool'!$F$25*((F26*100)-(' Grain Hauling Decision Tool'!$C$25*100))),IF(' Grain Hauling Decision Tool'!$D$25="% of weight/price",(' Grain Hauling Decision Tool'!$F$25*' Grain Hauling Decision Tool'!$E$19)*((F26*100)-(' Grain Hauling Decision Tool'!$C$25*100)),IF(' Grain Hauling Decision Tool'!$D$25="Shrink + Dry",((' Grain Hauling Decision Tool'!$F$25*' Grain Hauling Decision Tool'!$E$19)+' Grain Hauling Decision Tool'!$H$25)*((F26*100)-(' Grain Hauling Decision Tool'!$C$25*100)))))))</f>
        <v>0.76049999999999973</v>
      </c>
    </row>
    <row r="27" spans="2:7" x14ac:dyDescent="0.25">
      <c r="B27" s="158">
        <v>0.21</v>
      </c>
      <c r="C27" s="93">
        <f>IF(' Grain Hauling Decision Tool'!$D$23="--Select--","",IF(B27&lt;' Grain Hauling Decision Tool'!$C$23,0,IF(' Grain Hauling Decision Tool'!$D$23="$ per bushel",(' Grain Hauling Decision Tool'!$F$23*((B27*100)-(' Grain Hauling Decision Tool'!$C$23*100))),IF(' Grain Hauling Decision Tool'!$D$23="% of weight/price",(' Grain Hauling Decision Tool'!$F$23*' Grain Hauling Decision Tool'!$E$17)*((B27*100)-(' Grain Hauling Decision Tool'!$C$23*100)),IF(' Grain Hauling Decision Tool'!$D$23="Shrink + Dry",((' Grain Hauling Decision Tool'!$F$23*' Grain Hauling Decision Tool'!$E$17)+' Grain Hauling Decision Tool'!$H$23)*((B27*100)-(' Grain Hauling Decision Tool'!$C$23*100)))))))</f>
        <v>0.29644999999999999</v>
      </c>
      <c r="D27" s="159">
        <v>0.21</v>
      </c>
      <c r="E27" s="93">
        <f>IF(' Grain Hauling Decision Tool'!$D$24="--Select--","",IF(D27&lt;' Grain Hauling Decision Tool'!$C$24,0,IF(' Grain Hauling Decision Tool'!$D$24="$ per bushel",(' Grain Hauling Decision Tool'!$F$24*((D27*100)-(' Grain Hauling Decision Tool'!$C$24*100))),IF(' Grain Hauling Decision Tool'!$D$24="% of weight/price",(' Grain Hauling Decision Tool'!$F$24*' Grain Hauling Decision Tool'!$E$18)*((D27*100)-(' Grain Hauling Decision Tool'!$C$24*100)),IF(' Grain Hauling Decision Tool'!$D$24="Shrink + Dry",((' Grain Hauling Decision Tool'!$F$24*' Grain Hauling Decision Tool'!$E$18)+' Grain Hauling Decision Tool'!$H$24)*((D27*100)-(' Grain Hauling Decision Tool'!$C$24*100)))))))</f>
        <v>0.32500000000000012</v>
      </c>
      <c r="F27" s="159">
        <v>0.21</v>
      </c>
      <c r="G27" s="96">
        <f>IF(' Grain Hauling Decision Tool'!$D$25="--Select--","",IF(F27&lt;' Grain Hauling Decision Tool'!$C$25,0,IF(' Grain Hauling Decision Tool'!$D$25="$ per bushel",(' Grain Hauling Decision Tool'!$F$25*((F27*100)-(' Grain Hauling Decision Tool'!$C$25*100))),IF(' Grain Hauling Decision Tool'!$D$25="% of weight/price",(' Grain Hauling Decision Tool'!$F$25*' Grain Hauling Decision Tool'!$E$19)*((F27*100)-(' Grain Hauling Decision Tool'!$C$25*100)),IF(' Grain Hauling Decision Tool'!$D$25="Shrink + Dry",((' Grain Hauling Decision Tool'!$F$25*' Grain Hauling Decision Tool'!$E$19)+' Grain Hauling Decision Tool'!$H$25)*((F27*100)-(' Grain Hauling Decision Tool'!$C$25*100)))))))</f>
        <v>0.81899999999999973</v>
      </c>
    </row>
    <row r="28" spans="2:7" x14ac:dyDescent="0.25">
      <c r="B28" s="156">
        <v>0.215</v>
      </c>
      <c r="C28" s="94">
        <f>IF(' Grain Hauling Decision Tool'!$D$23="--Select--","",IF(B28&lt;' Grain Hauling Decision Tool'!$C$23,0,IF(' Grain Hauling Decision Tool'!$D$23="$ per bushel",(' Grain Hauling Decision Tool'!$F$23*((B28*100)-(' Grain Hauling Decision Tool'!$C$23*100))),IF(' Grain Hauling Decision Tool'!$D$23="% of weight/price",(' Grain Hauling Decision Tool'!$F$23*' Grain Hauling Decision Tool'!$E$17)*((B28*100)-(' Grain Hauling Decision Tool'!$C$23*100)),IF(' Grain Hauling Decision Tool'!$D$23="Shrink + Dry",((' Grain Hauling Decision Tool'!$F$23*' Grain Hauling Decision Tool'!$E$17)+' Grain Hauling Decision Tool'!$H$23)*((B28*100)-(' Grain Hauling Decision Tool'!$C$23*100)))))))</f>
        <v>0.32340000000000002</v>
      </c>
      <c r="D28" s="157">
        <v>0.215</v>
      </c>
      <c r="E28" s="94">
        <f>IF(' Grain Hauling Decision Tool'!$D$24="--Select--","",IF(D28&lt;' Grain Hauling Decision Tool'!$C$24,0,IF(' Grain Hauling Decision Tool'!$D$24="$ per bushel",(' Grain Hauling Decision Tool'!$F$24*((D28*100)-(' Grain Hauling Decision Tool'!$C$24*100))),IF(' Grain Hauling Decision Tool'!$D$24="% of weight/price",(' Grain Hauling Decision Tool'!$F$24*' Grain Hauling Decision Tool'!$E$18)*((D28*100)-(' Grain Hauling Decision Tool'!$C$24*100)),IF(' Grain Hauling Decision Tool'!$D$24="Shrink + Dry",((' Grain Hauling Decision Tool'!$F$24*' Grain Hauling Decision Tool'!$E$18)+' Grain Hauling Decision Tool'!$H$24)*((D28*100)-(' Grain Hauling Decision Tool'!$C$24*100)))))))</f>
        <v>0.35000000000000009</v>
      </c>
      <c r="F28" s="157">
        <v>0.215</v>
      </c>
      <c r="G28" s="97">
        <f>IF(' Grain Hauling Decision Tool'!$D$25="--Select--","",IF(F28&lt;' Grain Hauling Decision Tool'!$C$25,0,IF(' Grain Hauling Decision Tool'!$D$25="$ per bushel",(' Grain Hauling Decision Tool'!$F$25*((F28*100)-(' Grain Hauling Decision Tool'!$C$25*100))),IF(' Grain Hauling Decision Tool'!$D$25="% of weight/price",(' Grain Hauling Decision Tool'!$F$25*' Grain Hauling Decision Tool'!$E$19)*((F28*100)-(' Grain Hauling Decision Tool'!$C$25*100)),IF(' Grain Hauling Decision Tool'!$D$25="Shrink + Dry",((' Grain Hauling Decision Tool'!$F$25*' Grain Hauling Decision Tool'!$E$19)+' Grain Hauling Decision Tool'!$H$25)*((F28*100)-(' Grain Hauling Decision Tool'!$C$25*100)))))))</f>
        <v>0.87749999999999972</v>
      </c>
    </row>
    <row r="29" spans="2:7" x14ac:dyDescent="0.25">
      <c r="B29" s="158">
        <v>0.22</v>
      </c>
      <c r="C29" s="93">
        <f>IF(' Grain Hauling Decision Tool'!$D$23="--Select--","",IF(B29&lt;' Grain Hauling Decision Tool'!$C$23,0,IF(' Grain Hauling Decision Tool'!$D$23="$ per bushel",(' Grain Hauling Decision Tool'!$F$23*((B29*100)-(' Grain Hauling Decision Tool'!$C$23*100))),IF(' Grain Hauling Decision Tool'!$D$23="% of weight/price",(' Grain Hauling Decision Tool'!$F$23*' Grain Hauling Decision Tool'!$E$17)*((B29*100)-(' Grain Hauling Decision Tool'!$C$23*100)),IF(' Grain Hauling Decision Tool'!$D$23="Shrink + Dry",((' Grain Hauling Decision Tool'!$F$23*' Grain Hauling Decision Tool'!$E$17)+' Grain Hauling Decision Tool'!$H$23)*((B29*100)-(' Grain Hauling Decision Tool'!$C$23*100)))))))</f>
        <v>0.35035000000000005</v>
      </c>
      <c r="D29" s="159">
        <v>0.22</v>
      </c>
      <c r="E29" s="93">
        <f>IF(' Grain Hauling Decision Tool'!$D$24="--Select--","",IF(D29&lt;' Grain Hauling Decision Tool'!$C$24,0,IF(' Grain Hauling Decision Tool'!$D$24="$ per bushel",(' Grain Hauling Decision Tool'!$F$24*((D29*100)-(' Grain Hauling Decision Tool'!$C$24*100))),IF(' Grain Hauling Decision Tool'!$D$24="% of weight/price",(' Grain Hauling Decision Tool'!$F$24*' Grain Hauling Decision Tool'!$E$18)*((D29*100)-(' Grain Hauling Decision Tool'!$C$24*100)),IF(' Grain Hauling Decision Tool'!$D$24="Shrink + Dry",((' Grain Hauling Decision Tool'!$F$24*' Grain Hauling Decision Tool'!$E$18)+' Grain Hauling Decision Tool'!$H$24)*((D29*100)-(' Grain Hauling Decision Tool'!$C$24*100)))))))</f>
        <v>0.37500000000000011</v>
      </c>
      <c r="F29" s="159">
        <v>0.22</v>
      </c>
      <c r="G29" s="96">
        <f>IF(' Grain Hauling Decision Tool'!$D$25="--Select--","",IF(F29&lt;' Grain Hauling Decision Tool'!$C$25,0,IF(' Grain Hauling Decision Tool'!$D$25="$ per bushel",(' Grain Hauling Decision Tool'!$F$25*((F29*100)-(' Grain Hauling Decision Tool'!$C$25*100))),IF(' Grain Hauling Decision Tool'!$D$25="% of weight/price",(' Grain Hauling Decision Tool'!$F$25*' Grain Hauling Decision Tool'!$E$19)*((F29*100)-(' Grain Hauling Decision Tool'!$C$25*100)),IF(' Grain Hauling Decision Tool'!$D$25="Shrink + Dry",((' Grain Hauling Decision Tool'!$F$25*' Grain Hauling Decision Tool'!$E$19)+' Grain Hauling Decision Tool'!$H$25)*((F29*100)-(' Grain Hauling Decision Tool'!$C$25*100)))))))</f>
        <v>0.93599999999999972</v>
      </c>
    </row>
    <row r="30" spans="2:7" x14ac:dyDescent="0.25">
      <c r="B30" s="156">
        <v>0.22500000000000001</v>
      </c>
      <c r="C30" s="94">
        <f>IF(' Grain Hauling Decision Tool'!$D$23="--Select--","",IF(B30&lt;' Grain Hauling Decision Tool'!$C$23,0,IF(' Grain Hauling Decision Tool'!$D$23="$ per bushel",(' Grain Hauling Decision Tool'!$F$23*((B30*100)-(' Grain Hauling Decision Tool'!$C$23*100))),IF(' Grain Hauling Decision Tool'!$D$23="% of weight/price",(' Grain Hauling Decision Tool'!$F$23*' Grain Hauling Decision Tool'!$E$17)*((B30*100)-(' Grain Hauling Decision Tool'!$C$23*100)),IF(' Grain Hauling Decision Tool'!$D$23="Shrink + Dry",((' Grain Hauling Decision Tool'!$F$23*' Grain Hauling Decision Tool'!$E$17)+' Grain Hauling Decision Tool'!$H$23)*((B30*100)-(' Grain Hauling Decision Tool'!$C$23*100)))))))</f>
        <v>0.37730000000000002</v>
      </c>
      <c r="D30" s="157">
        <v>0.22500000000000001</v>
      </c>
      <c r="E30" s="94">
        <f>IF(' Grain Hauling Decision Tool'!$D$24="--Select--","",IF(D30&lt;' Grain Hauling Decision Tool'!$C$24,0,IF(' Grain Hauling Decision Tool'!$D$24="$ per bushel",(' Grain Hauling Decision Tool'!$F$24*((D30*100)-(' Grain Hauling Decision Tool'!$C$24*100))),IF(' Grain Hauling Decision Tool'!$D$24="% of weight/price",(' Grain Hauling Decision Tool'!$F$24*' Grain Hauling Decision Tool'!$E$18)*((D30*100)-(' Grain Hauling Decision Tool'!$C$24*100)),IF(' Grain Hauling Decision Tool'!$D$24="Shrink + Dry",((' Grain Hauling Decision Tool'!$F$24*' Grain Hauling Decision Tool'!$E$18)+' Grain Hauling Decision Tool'!$H$24)*((D30*100)-(' Grain Hauling Decision Tool'!$C$24*100)))))))</f>
        <v>0.40000000000000013</v>
      </c>
      <c r="F30" s="157">
        <v>0.22500000000000001</v>
      </c>
      <c r="G30" s="97">
        <f>IF(' Grain Hauling Decision Tool'!$D$25="--Select--","",IF(F30&lt;' Grain Hauling Decision Tool'!$C$25,0,IF(' Grain Hauling Decision Tool'!$D$25="$ per bushel",(' Grain Hauling Decision Tool'!$F$25*((F30*100)-(' Grain Hauling Decision Tool'!$C$25*100))),IF(' Grain Hauling Decision Tool'!$D$25="% of weight/price",(' Grain Hauling Decision Tool'!$F$25*' Grain Hauling Decision Tool'!$E$19)*((F30*100)-(' Grain Hauling Decision Tool'!$C$25*100)),IF(' Grain Hauling Decision Tool'!$D$25="Shrink + Dry",((' Grain Hauling Decision Tool'!$F$25*' Grain Hauling Decision Tool'!$E$19)+' Grain Hauling Decision Tool'!$H$25)*((F30*100)-(' Grain Hauling Decision Tool'!$C$25*100)))))))</f>
        <v>0.99449999999999972</v>
      </c>
    </row>
    <row r="31" spans="2:7" x14ac:dyDescent="0.25">
      <c r="B31" s="158">
        <v>0.23</v>
      </c>
      <c r="C31" s="93">
        <f>IF(' Grain Hauling Decision Tool'!$D$23="--Select--","",IF(B31&lt;' Grain Hauling Decision Tool'!$C$23,0,IF(' Grain Hauling Decision Tool'!$D$23="$ per bushel",(' Grain Hauling Decision Tool'!$F$23*((B31*100)-(' Grain Hauling Decision Tool'!$C$23*100))),IF(' Grain Hauling Decision Tool'!$D$23="% of weight/price",(' Grain Hauling Decision Tool'!$F$23*' Grain Hauling Decision Tool'!$E$17)*((B31*100)-(' Grain Hauling Decision Tool'!$C$23*100)),IF(' Grain Hauling Decision Tool'!$D$23="Shrink + Dry",((' Grain Hauling Decision Tool'!$F$23*' Grain Hauling Decision Tool'!$E$17)+' Grain Hauling Decision Tool'!$H$23)*((B31*100)-(' Grain Hauling Decision Tool'!$C$23*100)))))))</f>
        <v>0.40425</v>
      </c>
      <c r="D31" s="159">
        <v>0.23</v>
      </c>
      <c r="E31" s="93">
        <f>IF(' Grain Hauling Decision Tool'!$D$24="--Select--","",IF(D31&lt;' Grain Hauling Decision Tool'!$C$24,0,IF(' Grain Hauling Decision Tool'!$D$24="$ per bushel",(' Grain Hauling Decision Tool'!$F$24*((D31*100)-(' Grain Hauling Decision Tool'!$C$24*100))),IF(' Grain Hauling Decision Tool'!$D$24="% of weight/price",(' Grain Hauling Decision Tool'!$F$24*' Grain Hauling Decision Tool'!$E$18)*((D31*100)-(' Grain Hauling Decision Tool'!$C$24*100)),IF(' Grain Hauling Decision Tool'!$D$24="Shrink + Dry",((' Grain Hauling Decision Tool'!$F$24*' Grain Hauling Decision Tool'!$E$18)+' Grain Hauling Decision Tool'!$H$24)*((D31*100)-(' Grain Hauling Decision Tool'!$C$24*100)))))))</f>
        <v>0.4250000000000001</v>
      </c>
      <c r="F31" s="159">
        <v>0.23</v>
      </c>
      <c r="G31" s="96">
        <f>IF(' Grain Hauling Decision Tool'!$D$25="--Select--","",IF(F31&lt;' Grain Hauling Decision Tool'!$C$25,0,IF(' Grain Hauling Decision Tool'!$D$25="$ per bushel",(' Grain Hauling Decision Tool'!$F$25*((F31*100)-(' Grain Hauling Decision Tool'!$C$25*100))),IF(' Grain Hauling Decision Tool'!$D$25="% of weight/price",(' Grain Hauling Decision Tool'!$F$25*' Grain Hauling Decision Tool'!$E$19)*((F31*100)-(' Grain Hauling Decision Tool'!$C$25*100)),IF(' Grain Hauling Decision Tool'!$D$25="Shrink + Dry",((' Grain Hauling Decision Tool'!$F$25*' Grain Hauling Decision Tool'!$E$19)+' Grain Hauling Decision Tool'!$H$25)*((F31*100)-(' Grain Hauling Decision Tool'!$C$25*100)))))))</f>
        <v>1.0529999999999997</v>
      </c>
    </row>
    <row r="32" spans="2:7" x14ac:dyDescent="0.25">
      <c r="B32" s="156">
        <v>0.23499999999999999</v>
      </c>
      <c r="C32" s="94">
        <f>IF(' Grain Hauling Decision Tool'!$D$23="--Select--","",IF(B32&lt;' Grain Hauling Decision Tool'!$C$23,0,IF(' Grain Hauling Decision Tool'!$D$23="$ per bushel",(' Grain Hauling Decision Tool'!$F$23*((B32*100)-(' Grain Hauling Decision Tool'!$C$23*100))),IF(' Grain Hauling Decision Tool'!$D$23="% of weight/price",(' Grain Hauling Decision Tool'!$F$23*' Grain Hauling Decision Tool'!$E$17)*((B32*100)-(' Grain Hauling Decision Tool'!$C$23*100)),IF(' Grain Hauling Decision Tool'!$D$23="Shrink + Dry",((' Grain Hauling Decision Tool'!$F$23*' Grain Hauling Decision Tool'!$E$17)+' Grain Hauling Decision Tool'!$H$23)*((B32*100)-(' Grain Hauling Decision Tool'!$C$23*100)))))))</f>
        <v>0.43120000000000003</v>
      </c>
      <c r="D32" s="157">
        <v>0.23499999999999999</v>
      </c>
      <c r="E32" s="94">
        <f>IF(' Grain Hauling Decision Tool'!$D$24="--Select--","",IF(D32&lt;' Grain Hauling Decision Tool'!$C$24,0,IF(' Grain Hauling Decision Tool'!$D$24="$ per bushel",(' Grain Hauling Decision Tool'!$F$24*((D32*100)-(' Grain Hauling Decision Tool'!$C$24*100))),IF(' Grain Hauling Decision Tool'!$D$24="% of weight/price",(' Grain Hauling Decision Tool'!$F$24*' Grain Hauling Decision Tool'!$E$18)*((D32*100)-(' Grain Hauling Decision Tool'!$C$24*100)),IF(' Grain Hauling Decision Tool'!$D$24="Shrink + Dry",((' Grain Hauling Decision Tool'!$F$24*' Grain Hauling Decision Tool'!$E$18)+' Grain Hauling Decision Tool'!$H$24)*((D32*100)-(' Grain Hauling Decision Tool'!$C$24*100)))))))</f>
        <v>0.45000000000000012</v>
      </c>
      <c r="F32" s="157">
        <v>0.23499999999999999</v>
      </c>
      <c r="G32" s="97">
        <f>IF(' Grain Hauling Decision Tool'!$D$25="--Select--","",IF(F32&lt;' Grain Hauling Decision Tool'!$C$25,0,IF(' Grain Hauling Decision Tool'!$D$25="$ per bushel",(' Grain Hauling Decision Tool'!$F$25*((F32*100)-(' Grain Hauling Decision Tool'!$C$25*100))),IF(' Grain Hauling Decision Tool'!$D$25="% of weight/price",(' Grain Hauling Decision Tool'!$F$25*' Grain Hauling Decision Tool'!$E$19)*((F32*100)-(' Grain Hauling Decision Tool'!$C$25*100)),IF(' Grain Hauling Decision Tool'!$D$25="Shrink + Dry",((' Grain Hauling Decision Tool'!$F$25*' Grain Hauling Decision Tool'!$E$19)+' Grain Hauling Decision Tool'!$H$25)*((F32*100)-(' Grain Hauling Decision Tool'!$C$25*100)))))))</f>
        <v>1.1114999999999997</v>
      </c>
    </row>
    <row r="33" spans="2:13" x14ac:dyDescent="0.25">
      <c r="B33" s="158">
        <v>0.24</v>
      </c>
      <c r="C33" s="93">
        <f>IF(' Grain Hauling Decision Tool'!$D$23="--Select--","",IF(B33&lt;' Grain Hauling Decision Tool'!$C$23,0,IF(' Grain Hauling Decision Tool'!$D$23="$ per bushel",(' Grain Hauling Decision Tool'!$F$23*((B33*100)-(' Grain Hauling Decision Tool'!$C$23*100))),IF(' Grain Hauling Decision Tool'!$D$23="% of weight/price",(' Grain Hauling Decision Tool'!$F$23*' Grain Hauling Decision Tool'!$E$17)*((B33*100)-(' Grain Hauling Decision Tool'!$C$23*100)),IF(' Grain Hauling Decision Tool'!$D$23="Shrink + Dry",((' Grain Hauling Decision Tool'!$F$23*' Grain Hauling Decision Tool'!$E$17)+' Grain Hauling Decision Tool'!$H$23)*((B33*100)-(' Grain Hauling Decision Tool'!$C$23*100)))))))</f>
        <v>0.45815000000000006</v>
      </c>
      <c r="D33" s="159">
        <v>0.24</v>
      </c>
      <c r="E33" s="93">
        <f>IF(' Grain Hauling Decision Tool'!$D$24="--Select--","",IF(D33&lt;' Grain Hauling Decision Tool'!$C$24,0,IF(' Grain Hauling Decision Tool'!$D$24="$ per bushel",(' Grain Hauling Decision Tool'!$F$24*((D33*100)-(' Grain Hauling Decision Tool'!$C$24*100))),IF(' Grain Hauling Decision Tool'!$D$24="% of weight/price",(' Grain Hauling Decision Tool'!$F$24*' Grain Hauling Decision Tool'!$E$18)*((D33*100)-(' Grain Hauling Decision Tool'!$C$24*100)),IF(' Grain Hauling Decision Tool'!$D$24="Shrink + Dry",((' Grain Hauling Decision Tool'!$F$24*' Grain Hauling Decision Tool'!$E$18)+' Grain Hauling Decision Tool'!$H$24)*((D33*100)-(' Grain Hauling Decision Tool'!$C$24*100)))))))</f>
        <v>0.47500000000000009</v>
      </c>
      <c r="F33" s="159">
        <v>0.24</v>
      </c>
      <c r="G33" s="96">
        <f>IF(' Grain Hauling Decision Tool'!$D$25="--Select--","",IF(F33&lt;' Grain Hauling Decision Tool'!$C$25,0,IF(' Grain Hauling Decision Tool'!$D$25="$ per bushel",(' Grain Hauling Decision Tool'!$F$25*((F33*100)-(' Grain Hauling Decision Tool'!$C$25*100))),IF(' Grain Hauling Decision Tool'!$D$25="% of weight/price",(' Grain Hauling Decision Tool'!$F$25*' Grain Hauling Decision Tool'!$E$19)*((F33*100)-(' Grain Hauling Decision Tool'!$C$25*100)),IF(' Grain Hauling Decision Tool'!$D$25="Shrink + Dry",((' Grain Hauling Decision Tool'!$F$25*' Grain Hauling Decision Tool'!$E$19)+' Grain Hauling Decision Tool'!$H$25)*((F33*100)-(' Grain Hauling Decision Tool'!$C$25*100)))))))</f>
        <v>1.1699999999999997</v>
      </c>
    </row>
    <row r="34" spans="2:13" x14ac:dyDescent="0.25">
      <c r="B34" s="156">
        <v>0.245</v>
      </c>
      <c r="C34" s="94">
        <f>IF(' Grain Hauling Decision Tool'!$D$23="--Select--","",IF(B34&lt;' Grain Hauling Decision Tool'!$C$23,0,IF(' Grain Hauling Decision Tool'!$D$23="$ per bushel",(' Grain Hauling Decision Tool'!$F$23*((B34*100)-(' Grain Hauling Decision Tool'!$C$23*100))),IF(' Grain Hauling Decision Tool'!$D$23="% of weight/price",(' Grain Hauling Decision Tool'!$F$23*' Grain Hauling Decision Tool'!$E$17)*((B34*100)-(' Grain Hauling Decision Tool'!$C$23*100)),IF(' Grain Hauling Decision Tool'!$D$23="Shrink + Dry",((' Grain Hauling Decision Tool'!$F$23*' Grain Hauling Decision Tool'!$E$17)+' Grain Hauling Decision Tool'!$H$23)*((B34*100)-(' Grain Hauling Decision Tool'!$C$23*100)))))))</f>
        <v>0.48510000000000003</v>
      </c>
      <c r="D34" s="157">
        <v>0.245</v>
      </c>
      <c r="E34" s="94">
        <f>IF(' Grain Hauling Decision Tool'!$D$24="--Select--","",IF(D34&lt;' Grain Hauling Decision Tool'!$C$24,0,IF(' Grain Hauling Decision Tool'!$D$24="$ per bushel",(' Grain Hauling Decision Tool'!$F$24*((D34*100)-(' Grain Hauling Decision Tool'!$C$24*100))),IF(' Grain Hauling Decision Tool'!$D$24="% of weight/price",(' Grain Hauling Decision Tool'!$F$24*' Grain Hauling Decision Tool'!$E$18)*((D34*100)-(' Grain Hauling Decision Tool'!$C$24*100)),IF(' Grain Hauling Decision Tool'!$D$24="Shrink + Dry",((' Grain Hauling Decision Tool'!$F$24*' Grain Hauling Decision Tool'!$E$18)+' Grain Hauling Decision Tool'!$H$24)*((D34*100)-(' Grain Hauling Decision Tool'!$C$24*100)))))))</f>
        <v>0.50000000000000011</v>
      </c>
      <c r="F34" s="157">
        <v>0.245</v>
      </c>
      <c r="G34" s="97">
        <f>IF(' Grain Hauling Decision Tool'!$D$25="--Select--","",IF(F34&lt;' Grain Hauling Decision Tool'!$C$25,0,IF(' Grain Hauling Decision Tool'!$D$25="$ per bushel",(' Grain Hauling Decision Tool'!$F$25*((F34*100)-(' Grain Hauling Decision Tool'!$C$25*100))),IF(' Grain Hauling Decision Tool'!$D$25="% of weight/price",(' Grain Hauling Decision Tool'!$F$25*' Grain Hauling Decision Tool'!$E$19)*((F34*100)-(' Grain Hauling Decision Tool'!$C$25*100)),IF(' Grain Hauling Decision Tool'!$D$25="Shrink + Dry",((' Grain Hauling Decision Tool'!$F$25*' Grain Hauling Decision Tool'!$E$19)+' Grain Hauling Decision Tool'!$H$25)*((F34*100)-(' Grain Hauling Decision Tool'!$C$25*100)))))))</f>
        <v>1.2284999999999997</v>
      </c>
    </row>
    <row r="35" spans="2:13" x14ac:dyDescent="0.25">
      <c r="B35" s="158">
        <v>0.25</v>
      </c>
      <c r="C35" s="93">
        <f>IF(' Grain Hauling Decision Tool'!$D$23="--Select--","",IF(B35&lt;' Grain Hauling Decision Tool'!$C$23,0,IF(' Grain Hauling Decision Tool'!$D$23="$ per bushel",(' Grain Hauling Decision Tool'!$F$23*((B35*100)-(' Grain Hauling Decision Tool'!$C$23*100))),IF(' Grain Hauling Decision Tool'!$D$23="% of weight/price",(' Grain Hauling Decision Tool'!$F$23*' Grain Hauling Decision Tool'!$E$17)*((B35*100)-(' Grain Hauling Decision Tool'!$C$23*100)),IF(' Grain Hauling Decision Tool'!$D$23="Shrink + Dry",((' Grain Hauling Decision Tool'!$F$23*' Grain Hauling Decision Tool'!$E$17)+' Grain Hauling Decision Tool'!$H$23)*((B35*100)-(' Grain Hauling Decision Tool'!$C$23*100)))))))</f>
        <v>0.51205000000000001</v>
      </c>
      <c r="D35" s="159">
        <v>0.25</v>
      </c>
      <c r="E35" s="93">
        <f>IF(' Grain Hauling Decision Tool'!$D$24="--Select--","",IF(D35&lt;' Grain Hauling Decision Tool'!$C$24,0,IF(' Grain Hauling Decision Tool'!$D$24="$ per bushel",(' Grain Hauling Decision Tool'!$F$24*((D35*100)-(' Grain Hauling Decision Tool'!$C$24*100))),IF(' Grain Hauling Decision Tool'!$D$24="% of weight/price",(' Grain Hauling Decision Tool'!$F$24*' Grain Hauling Decision Tool'!$E$18)*((D35*100)-(' Grain Hauling Decision Tool'!$C$24*100)),IF(' Grain Hauling Decision Tool'!$D$24="Shrink + Dry",((' Grain Hauling Decision Tool'!$F$24*' Grain Hauling Decision Tool'!$E$18)+' Grain Hauling Decision Tool'!$H$24)*((D35*100)-(' Grain Hauling Decision Tool'!$C$24*100)))))))</f>
        <v>0.52500000000000013</v>
      </c>
      <c r="F35" s="159">
        <v>0.25</v>
      </c>
      <c r="G35" s="96">
        <f>IF(' Grain Hauling Decision Tool'!$D$25="--Select--","",IF(F35&lt;' Grain Hauling Decision Tool'!$C$25,0,IF(' Grain Hauling Decision Tool'!$D$25="$ per bushel",(' Grain Hauling Decision Tool'!$F$25*((F35*100)-(' Grain Hauling Decision Tool'!$C$25*100))),IF(' Grain Hauling Decision Tool'!$D$25="% of weight/price",(' Grain Hauling Decision Tool'!$F$25*' Grain Hauling Decision Tool'!$E$19)*((F35*100)-(' Grain Hauling Decision Tool'!$C$25*100)),IF(' Grain Hauling Decision Tool'!$D$25="Shrink + Dry",((' Grain Hauling Decision Tool'!$F$25*' Grain Hauling Decision Tool'!$E$19)+' Grain Hauling Decision Tool'!$H$25)*((F35*100)-(' Grain Hauling Decision Tool'!$C$25*100)))))))</f>
        <v>1.2869999999999997</v>
      </c>
    </row>
    <row r="36" spans="2:13" x14ac:dyDescent="0.25">
      <c r="B36" s="156">
        <v>0.255</v>
      </c>
      <c r="C36" s="94">
        <f>IF(' Grain Hauling Decision Tool'!$D$23="--Select--","",IF(B36&lt;' Grain Hauling Decision Tool'!$C$23,0,IF(' Grain Hauling Decision Tool'!$D$23="$ per bushel",(' Grain Hauling Decision Tool'!$F$23*((B36*100)-(' Grain Hauling Decision Tool'!$C$23*100))),IF(' Grain Hauling Decision Tool'!$D$23="% of weight/price",(' Grain Hauling Decision Tool'!$F$23*' Grain Hauling Decision Tool'!$E$17)*((B36*100)-(' Grain Hauling Decision Tool'!$C$23*100)),IF(' Grain Hauling Decision Tool'!$D$23="Shrink + Dry",((' Grain Hauling Decision Tool'!$F$23*' Grain Hauling Decision Tool'!$E$17)+' Grain Hauling Decision Tool'!$H$23)*((B36*100)-(' Grain Hauling Decision Tool'!$C$23*100)))))))</f>
        <v>0.53900000000000003</v>
      </c>
      <c r="D36" s="157">
        <v>0.255</v>
      </c>
      <c r="E36" s="94">
        <f>IF(' Grain Hauling Decision Tool'!$D$24="--Select--","",IF(D36&lt;' Grain Hauling Decision Tool'!$C$24,0,IF(' Grain Hauling Decision Tool'!$D$24="$ per bushel",(' Grain Hauling Decision Tool'!$F$24*((D36*100)-(' Grain Hauling Decision Tool'!$C$24*100))),IF(' Grain Hauling Decision Tool'!$D$24="% of weight/price",(' Grain Hauling Decision Tool'!$F$24*' Grain Hauling Decision Tool'!$E$18)*((D36*100)-(' Grain Hauling Decision Tool'!$C$24*100)),IF(' Grain Hauling Decision Tool'!$D$24="Shrink + Dry",((' Grain Hauling Decision Tool'!$F$24*' Grain Hauling Decision Tool'!$E$18)+' Grain Hauling Decision Tool'!$H$24)*((D36*100)-(' Grain Hauling Decision Tool'!$C$24*100)))))))</f>
        <v>0.55000000000000016</v>
      </c>
      <c r="F36" s="157">
        <v>0.255</v>
      </c>
      <c r="G36" s="97">
        <f>IF(' Grain Hauling Decision Tool'!$D$25="--Select--","",IF(F36&lt;' Grain Hauling Decision Tool'!$C$25,0,IF(' Grain Hauling Decision Tool'!$D$25="$ per bushel",(' Grain Hauling Decision Tool'!$F$25*((F36*100)-(' Grain Hauling Decision Tool'!$C$25*100))),IF(' Grain Hauling Decision Tool'!$D$25="% of weight/price",(' Grain Hauling Decision Tool'!$F$25*' Grain Hauling Decision Tool'!$E$19)*((F36*100)-(' Grain Hauling Decision Tool'!$C$25*100)),IF(' Grain Hauling Decision Tool'!$D$25="Shrink + Dry",((' Grain Hauling Decision Tool'!$F$25*' Grain Hauling Decision Tool'!$E$19)+' Grain Hauling Decision Tool'!$H$25)*((F36*100)-(' Grain Hauling Decision Tool'!$C$25*100)))))))</f>
        <v>1.3454999999999997</v>
      </c>
    </row>
    <row r="37" spans="2:13" x14ac:dyDescent="0.25">
      <c r="B37" s="158">
        <v>0.26</v>
      </c>
      <c r="C37" s="93">
        <f>IF(' Grain Hauling Decision Tool'!$D$23="--Select--","",IF(B37&lt;' Grain Hauling Decision Tool'!$C$23,0,IF(' Grain Hauling Decision Tool'!$D$23="$ per bushel",(' Grain Hauling Decision Tool'!$F$23*((B37*100)-(' Grain Hauling Decision Tool'!$C$23*100))),IF(' Grain Hauling Decision Tool'!$D$23="% of weight/price",(' Grain Hauling Decision Tool'!$F$23*' Grain Hauling Decision Tool'!$E$17)*((B37*100)-(' Grain Hauling Decision Tool'!$C$23*100)),IF(' Grain Hauling Decision Tool'!$D$23="Shrink + Dry",((' Grain Hauling Decision Tool'!$F$23*' Grain Hauling Decision Tool'!$E$17)+' Grain Hauling Decision Tool'!$H$23)*((B37*100)-(' Grain Hauling Decision Tool'!$C$23*100)))))))</f>
        <v>0.56595000000000006</v>
      </c>
      <c r="D37" s="159">
        <v>0.26</v>
      </c>
      <c r="E37" s="93">
        <f>IF(' Grain Hauling Decision Tool'!$D$24="--Select--","",IF(D37&lt;' Grain Hauling Decision Tool'!$C$24,0,IF(' Grain Hauling Decision Tool'!$D$24="$ per bushel",(' Grain Hauling Decision Tool'!$F$24*((D37*100)-(' Grain Hauling Decision Tool'!$C$24*100))),IF(' Grain Hauling Decision Tool'!$D$24="% of weight/price",(' Grain Hauling Decision Tool'!$F$24*' Grain Hauling Decision Tool'!$E$18)*((D37*100)-(' Grain Hauling Decision Tool'!$C$24*100)),IF(' Grain Hauling Decision Tool'!$D$24="Shrink + Dry",((' Grain Hauling Decision Tool'!$F$24*' Grain Hauling Decision Tool'!$E$18)+' Grain Hauling Decision Tool'!$H$24)*((D37*100)-(' Grain Hauling Decision Tool'!$C$24*100)))))))</f>
        <v>0.57500000000000007</v>
      </c>
      <c r="F37" s="159">
        <v>0.26</v>
      </c>
      <c r="G37" s="96">
        <f>IF(' Grain Hauling Decision Tool'!$D$25="--Select--","",IF(F37&lt;' Grain Hauling Decision Tool'!$C$25,0,IF(' Grain Hauling Decision Tool'!$D$25="$ per bushel",(' Grain Hauling Decision Tool'!$F$25*((F37*100)-(' Grain Hauling Decision Tool'!$C$25*100))),IF(' Grain Hauling Decision Tool'!$D$25="% of weight/price",(' Grain Hauling Decision Tool'!$F$25*' Grain Hauling Decision Tool'!$E$19)*((F37*100)-(' Grain Hauling Decision Tool'!$C$25*100)),IF(' Grain Hauling Decision Tool'!$D$25="Shrink + Dry",((' Grain Hauling Decision Tool'!$F$25*' Grain Hauling Decision Tool'!$E$19)+' Grain Hauling Decision Tool'!$H$25)*((F37*100)-(' Grain Hauling Decision Tool'!$C$25*100)))))))</f>
        <v>1.4039999999999997</v>
      </c>
    </row>
    <row r="38" spans="2:13" x14ac:dyDescent="0.25">
      <c r="B38" s="156">
        <v>0.26500000000000001</v>
      </c>
      <c r="C38" s="94">
        <f>IF(' Grain Hauling Decision Tool'!$D$23="--Select--","",IF(B38&lt;' Grain Hauling Decision Tool'!$C$23,0,IF(' Grain Hauling Decision Tool'!$D$23="$ per bushel",(' Grain Hauling Decision Tool'!$F$23*((B38*100)-(' Grain Hauling Decision Tool'!$C$23*100))),IF(' Grain Hauling Decision Tool'!$D$23="% of weight/price",(' Grain Hauling Decision Tool'!$F$23*' Grain Hauling Decision Tool'!$E$17)*((B38*100)-(' Grain Hauling Decision Tool'!$C$23*100)),IF(' Grain Hauling Decision Tool'!$D$23="Shrink + Dry",((' Grain Hauling Decision Tool'!$F$23*' Grain Hauling Decision Tool'!$E$17)+' Grain Hauling Decision Tool'!$H$23)*((B38*100)-(' Grain Hauling Decision Tool'!$C$23*100)))))))</f>
        <v>0.59289999999999998</v>
      </c>
      <c r="D38" s="157">
        <v>0.26500000000000001</v>
      </c>
      <c r="E38" s="94">
        <f>IF(' Grain Hauling Decision Tool'!$D$24="--Select--","",IF(D38&lt;' Grain Hauling Decision Tool'!$C$24,0,IF(' Grain Hauling Decision Tool'!$D$24="$ per bushel",(' Grain Hauling Decision Tool'!$F$24*((D38*100)-(' Grain Hauling Decision Tool'!$C$24*100))),IF(' Grain Hauling Decision Tool'!$D$24="% of weight/price",(' Grain Hauling Decision Tool'!$F$24*' Grain Hauling Decision Tool'!$E$18)*((D38*100)-(' Grain Hauling Decision Tool'!$C$24*100)),IF(' Grain Hauling Decision Tool'!$D$24="Shrink + Dry",((' Grain Hauling Decision Tool'!$F$24*' Grain Hauling Decision Tool'!$E$18)+' Grain Hauling Decision Tool'!$H$24)*((D38*100)-(' Grain Hauling Decision Tool'!$C$24*100)))))))</f>
        <v>0.60000000000000009</v>
      </c>
      <c r="F38" s="157">
        <v>0.26500000000000001</v>
      </c>
      <c r="G38" s="97">
        <f>IF(' Grain Hauling Decision Tool'!$D$25="--Select--","",IF(F38&lt;' Grain Hauling Decision Tool'!$C$25,0,IF(' Grain Hauling Decision Tool'!$D$25="$ per bushel",(' Grain Hauling Decision Tool'!$F$25*((F38*100)-(' Grain Hauling Decision Tool'!$C$25*100))),IF(' Grain Hauling Decision Tool'!$D$25="% of weight/price",(' Grain Hauling Decision Tool'!$F$25*' Grain Hauling Decision Tool'!$E$19)*((F38*100)-(' Grain Hauling Decision Tool'!$C$25*100)),IF(' Grain Hauling Decision Tool'!$D$25="Shrink + Dry",((' Grain Hauling Decision Tool'!$F$25*' Grain Hauling Decision Tool'!$E$19)+' Grain Hauling Decision Tool'!$H$25)*((F38*100)-(' Grain Hauling Decision Tool'!$C$25*100)))))))</f>
        <v>1.4624999999999997</v>
      </c>
    </row>
    <row r="39" spans="2:13" x14ac:dyDescent="0.25">
      <c r="B39" s="158">
        <v>0.27</v>
      </c>
      <c r="C39" s="93">
        <f>IF(' Grain Hauling Decision Tool'!$D$23="--Select--","",IF(B39&lt;' Grain Hauling Decision Tool'!$C$23,0,IF(' Grain Hauling Decision Tool'!$D$23="$ per bushel",(' Grain Hauling Decision Tool'!$F$23*((B39*100)-(' Grain Hauling Decision Tool'!$C$23*100))),IF(' Grain Hauling Decision Tool'!$D$23="% of weight/price",(' Grain Hauling Decision Tool'!$F$23*' Grain Hauling Decision Tool'!$E$17)*((B39*100)-(' Grain Hauling Decision Tool'!$C$23*100)),IF(' Grain Hauling Decision Tool'!$D$23="Shrink + Dry",((' Grain Hauling Decision Tool'!$F$23*' Grain Hauling Decision Tool'!$E$17)+' Grain Hauling Decision Tool'!$H$23)*((B39*100)-(' Grain Hauling Decision Tool'!$C$23*100)))))))</f>
        <v>0.61985000000000001</v>
      </c>
      <c r="D39" s="159">
        <v>0.27</v>
      </c>
      <c r="E39" s="93">
        <f>IF(' Grain Hauling Decision Tool'!$D$24="--Select--","",IF(D39&lt;' Grain Hauling Decision Tool'!$C$24,0,IF(' Grain Hauling Decision Tool'!$D$24="$ per bushel",(' Grain Hauling Decision Tool'!$F$24*((D39*100)-(' Grain Hauling Decision Tool'!$C$24*100))),IF(' Grain Hauling Decision Tool'!$D$24="% of weight/price",(' Grain Hauling Decision Tool'!$F$24*' Grain Hauling Decision Tool'!$E$18)*((D39*100)-(' Grain Hauling Decision Tool'!$C$24*100)),IF(' Grain Hauling Decision Tool'!$D$24="Shrink + Dry",((' Grain Hauling Decision Tool'!$F$24*' Grain Hauling Decision Tool'!$E$18)+' Grain Hauling Decision Tool'!$H$24)*((D39*100)-(' Grain Hauling Decision Tool'!$C$24*100)))))))</f>
        <v>0.62500000000000011</v>
      </c>
      <c r="F39" s="159">
        <v>0.27</v>
      </c>
      <c r="G39" s="96">
        <f>IF(' Grain Hauling Decision Tool'!$D$25="--Select--","",IF(F39&lt;' Grain Hauling Decision Tool'!$C$25,0,IF(' Grain Hauling Decision Tool'!$D$25="$ per bushel",(' Grain Hauling Decision Tool'!$F$25*((F39*100)-(' Grain Hauling Decision Tool'!$C$25*100))),IF(' Grain Hauling Decision Tool'!$D$25="% of weight/price",(' Grain Hauling Decision Tool'!$F$25*' Grain Hauling Decision Tool'!$E$19)*((F39*100)-(' Grain Hauling Decision Tool'!$C$25*100)),IF(' Grain Hauling Decision Tool'!$D$25="Shrink + Dry",((' Grain Hauling Decision Tool'!$F$25*' Grain Hauling Decision Tool'!$E$19)+' Grain Hauling Decision Tool'!$H$25)*((F39*100)-(' Grain Hauling Decision Tool'!$C$25*100)))))))</f>
        <v>1.5209999999999997</v>
      </c>
    </row>
    <row r="40" spans="2:13" x14ac:dyDescent="0.25">
      <c r="B40" s="156">
        <v>0.27500000000000002</v>
      </c>
      <c r="C40" s="94">
        <f>IF(' Grain Hauling Decision Tool'!$D$23="--Select--","",IF(B40&lt;' Grain Hauling Decision Tool'!$C$23,0,IF(' Grain Hauling Decision Tool'!$D$23="$ per bushel",(' Grain Hauling Decision Tool'!$F$23*((B40*100)-(' Grain Hauling Decision Tool'!$C$23*100))),IF(' Grain Hauling Decision Tool'!$D$23="% of weight/price",(' Grain Hauling Decision Tool'!$F$23*' Grain Hauling Decision Tool'!$E$17)*((B40*100)-(' Grain Hauling Decision Tool'!$C$23*100)),IF(' Grain Hauling Decision Tool'!$D$23="Shrink + Dry",((' Grain Hauling Decision Tool'!$F$23*' Grain Hauling Decision Tool'!$E$17)+' Grain Hauling Decision Tool'!$H$23)*((B40*100)-(' Grain Hauling Decision Tool'!$C$23*100)))))))</f>
        <v>0.64680000000000026</v>
      </c>
      <c r="D40" s="157">
        <v>0.27500000000000002</v>
      </c>
      <c r="E40" s="94">
        <f>IF(' Grain Hauling Decision Tool'!$D$24="--Select--","",IF(D40&lt;' Grain Hauling Decision Tool'!$C$24,0,IF(' Grain Hauling Decision Tool'!$D$24="$ per bushel",(' Grain Hauling Decision Tool'!$F$24*((D40*100)-(' Grain Hauling Decision Tool'!$C$24*100))),IF(' Grain Hauling Decision Tool'!$D$24="% of weight/price",(' Grain Hauling Decision Tool'!$F$24*' Grain Hauling Decision Tool'!$E$18)*((D40*100)-(' Grain Hauling Decision Tool'!$C$24*100)),IF(' Grain Hauling Decision Tool'!$D$24="Shrink + Dry",((' Grain Hauling Decision Tool'!$F$24*' Grain Hauling Decision Tool'!$E$18)+' Grain Hauling Decision Tool'!$H$24)*((D40*100)-(' Grain Hauling Decision Tool'!$C$24*100)))))))</f>
        <v>0.65000000000000036</v>
      </c>
      <c r="F40" s="157">
        <v>0.27500000000000002</v>
      </c>
      <c r="G40" s="97">
        <f>IF(' Grain Hauling Decision Tool'!$D$25="--Select--","",IF(F40&lt;' Grain Hauling Decision Tool'!$C$25,0,IF(' Grain Hauling Decision Tool'!$D$25="$ per bushel",(' Grain Hauling Decision Tool'!$F$25*((F40*100)-(' Grain Hauling Decision Tool'!$C$25*100))),IF(' Grain Hauling Decision Tool'!$D$25="% of weight/price",(' Grain Hauling Decision Tool'!$F$25*' Grain Hauling Decision Tool'!$E$19)*((F40*100)-(' Grain Hauling Decision Tool'!$C$25*100)),IF(' Grain Hauling Decision Tool'!$D$25="Shrink + Dry",((' Grain Hauling Decision Tool'!$F$25*' Grain Hauling Decision Tool'!$E$19)+' Grain Hauling Decision Tool'!$H$25)*((F40*100)-(' Grain Hauling Decision Tool'!$C$25*100)))))))</f>
        <v>1.5795000000000001</v>
      </c>
    </row>
    <row r="41" spans="2:13" x14ac:dyDescent="0.25">
      <c r="B41" s="158">
        <v>0.28000000000000003</v>
      </c>
      <c r="C41" s="93">
        <f>IF(' Grain Hauling Decision Tool'!$D$23="--Select--","",IF(B41&lt;' Grain Hauling Decision Tool'!$C$23,0,IF(' Grain Hauling Decision Tool'!$D$23="$ per bushel",(' Grain Hauling Decision Tool'!$F$23*((B41*100)-(' Grain Hauling Decision Tool'!$C$23*100))),IF(' Grain Hauling Decision Tool'!$D$23="% of weight/price",(' Grain Hauling Decision Tool'!$F$23*' Grain Hauling Decision Tool'!$E$17)*((B41*100)-(' Grain Hauling Decision Tool'!$C$23*100)),IF(' Grain Hauling Decision Tool'!$D$23="Shrink + Dry",((' Grain Hauling Decision Tool'!$F$23*' Grain Hauling Decision Tool'!$E$17)+' Grain Hauling Decision Tool'!$H$23)*((B41*100)-(' Grain Hauling Decision Tool'!$C$23*100)))))))</f>
        <v>0.67375000000000018</v>
      </c>
      <c r="D41" s="159">
        <v>0.28000000000000003</v>
      </c>
      <c r="E41" s="93">
        <f>IF(' Grain Hauling Decision Tool'!$D$24="--Select--","",IF(D41&lt;' Grain Hauling Decision Tool'!$C$24,0,IF(' Grain Hauling Decision Tool'!$D$24="$ per bushel",(' Grain Hauling Decision Tool'!$F$24*((D41*100)-(' Grain Hauling Decision Tool'!$C$24*100))),IF(' Grain Hauling Decision Tool'!$D$24="% of weight/price",(' Grain Hauling Decision Tool'!$F$24*' Grain Hauling Decision Tool'!$E$18)*((D41*100)-(' Grain Hauling Decision Tool'!$C$24*100)),IF(' Grain Hauling Decision Tool'!$D$24="Shrink + Dry",((' Grain Hauling Decision Tool'!$F$24*' Grain Hauling Decision Tool'!$E$18)+' Grain Hauling Decision Tool'!$H$24)*((D41*100)-(' Grain Hauling Decision Tool'!$C$24*100)))))))</f>
        <v>0.67500000000000027</v>
      </c>
      <c r="F41" s="159">
        <v>0.28000000000000003</v>
      </c>
      <c r="G41" s="96">
        <f>IF(' Grain Hauling Decision Tool'!$D$25="--Select--","",IF(F41&lt;' Grain Hauling Decision Tool'!$C$25,0,IF(' Grain Hauling Decision Tool'!$D$25="$ per bushel",(' Grain Hauling Decision Tool'!$F$25*((F41*100)-(' Grain Hauling Decision Tool'!$C$25*100))),IF(' Grain Hauling Decision Tool'!$D$25="% of weight/price",(' Grain Hauling Decision Tool'!$F$25*' Grain Hauling Decision Tool'!$E$19)*((F41*100)-(' Grain Hauling Decision Tool'!$C$25*100)),IF(' Grain Hauling Decision Tool'!$D$25="Shrink + Dry",((' Grain Hauling Decision Tool'!$F$25*' Grain Hauling Decision Tool'!$E$19)+' Grain Hauling Decision Tool'!$H$25)*((F41*100)-(' Grain Hauling Decision Tool'!$C$25*100)))))))</f>
        <v>1.6380000000000001</v>
      </c>
    </row>
    <row r="42" spans="2:13" x14ac:dyDescent="0.25">
      <c r="B42" s="156">
        <v>0.28499999999999998</v>
      </c>
      <c r="C42" s="94">
        <f>IF(' Grain Hauling Decision Tool'!$D$23="--Select--","",IF(B42&lt;' Grain Hauling Decision Tool'!$C$23,0,IF(' Grain Hauling Decision Tool'!$D$23="$ per bushel",(' Grain Hauling Decision Tool'!$F$23*((B42*100)-(' Grain Hauling Decision Tool'!$C$23*100))),IF(' Grain Hauling Decision Tool'!$D$23="% of weight/price",(' Grain Hauling Decision Tool'!$F$23*' Grain Hauling Decision Tool'!$E$17)*((B42*100)-(' Grain Hauling Decision Tool'!$C$23*100)),IF(' Grain Hauling Decision Tool'!$D$23="Shrink + Dry",((' Grain Hauling Decision Tool'!$F$23*' Grain Hauling Decision Tool'!$E$17)+' Grain Hauling Decision Tool'!$H$23)*((B42*100)-(' Grain Hauling Decision Tool'!$C$23*100)))))))</f>
        <v>0.70069999999999988</v>
      </c>
      <c r="D42" s="157">
        <v>0.28499999999999998</v>
      </c>
      <c r="E42" s="94">
        <f>IF(' Grain Hauling Decision Tool'!$D$24="--Select--","",IF(D42&lt;' Grain Hauling Decision Tool'!$C$24,0,IF(' Grain Hauling Decision Tool'!$D$24="$ per bushel",(' Grain Hauling Decision Tool'!$F$24*((D42*100)-(' Grain Hauling Decision Tool'!$C$24*100))),IF(' Grain Hauling Decision Tool'!$D$24="% of weight/price",(' Grain Hauling Decision Tool'!$F$24*' Grain Hauling Decision Tool'!$E$18)*((D42*100)-(' Grain Hauling Decision Tool'!$C$24*100)),IF(' Grain Hauling Decision Tool'!$D$24="Shrink + Dry",((' Grain Hauling Decision Tool'!$F$24*' Grain Hauling Decision Tool'!$E$18)+' Grain Hauling Decision Tool'!$H$24)*((D42*100)-(' Grain Hauling Decision Tool'!$C$24*100)))))))</f>
        <v>0.7</v>
      </c>
      <c r="F42" s="157">
        <v>0.28499999999999998</v>
      </c>
      <c r="G42" s="97">
        <f>IF(' Grain Hauling Decision Tool'!$D$25="--Select--","",IF(F42&lt;' Grain Hauling Decision Tool'!$C$25,0,IF(' Grain Hauling Decision Tool'!$D$25="$ per bushel",(' Grain Hauling Decision Tool'!$F$25*((F42*100)-(' Grain Hauling Decision Tool'!$C$25*100))),IF(' Grain Hauling Decision Tool'!$D$25="% of weight/price",(' Grain Hauling Decision Tool'!$F$25*' Grain Hauling Decision Tool'!$E$19)*((F42*100)-(' Grain Hauling Decision Tool'!$C$25*100)),IF(' Grain Hauling Decision Tool'!$D$25="Shrink + Dry",((' Grain Hauling Decision Tool'!$F$25*' Grain Hauling Decision Tool'!$E$19)+' Grain Hauling Decision Tool'!$H$25)*((F42*100)-(' Grain Hauling Decision Tool'!$C$25*100)))))))</f>
        <v>1.6964999999999992</v>
      </c>
    </row>
    <row r="43" spans="2:13" x14ac:dyDescent="0.25">
      <c r="B43" s="158">
        <v>0.28999999999999998</v>
      </c>
      <c r="C43" s="93">
        <f>IF(' Grain Hauling Decision Tool'!$D$23="--Select--","",IF(B43&lt;' Grain Hauling Decision Tool'!$C$23,0,IF(' Grain Hauling Decision Tool'!$D$23="$ per bushel",(' Grain Hauling Decision Tool'!$F$23*((B43*100)-(' Grain Hauling Decision Tool'!$C$23*100))),IF(' Grain Hauling Decision Tool'!$D$23="% of weight/price",(' Grain Hauling Decision Tool'!$F$23*' Grain Hauling Decision Tool'!$E$17)*((B43*100)-(' Grain Hauling Decision Tool'!$C$23*100)),IF(' Grain Hauling Decision Tool'!$D$23="Shrink + Dry",((' Grain Hauling Decision Tool'!$F$23*' Grain Hauling Decision Tool'!$E$17)+' Grain Hauling Decision Tool'!$H$23)*((B43*100)-(' Grain Hauling Decision Tool'!$C$23*100)))))))</f>
        <v>0.72764999999999991</v>
      </c>
      <c r="D43" s="159">
        <v>0.28999999999999998</v>
      </c>
      <c r="E43" s="93">
        <f>IF(' Grain Hauling Decision Tool'!$D$24="--Select--","",IF(D43&lt;' Grain Hauling Decision Tool'!$C$24,0,IF(' Grain Hauling Decision Tool'!$D$24="$ per bushel",(' Grain Hauling Decision Tool'!$F$24*((D43*100)-(' Grain Hauling Decision Tool'!$C$24*100))),IF(' Grain Hauling Decision Tool'!$D$24="% of weight/price",(' Grain Hauling Decision Tool'!$F$24*' Grain Hauling Decision Tool'!$E$18)*((D43*100)-(' Grain Hauling Decision Tool'!$C$24*100)),IF(' Grain Hauling Decision Tool'!$D$24="Shrink + Dry",((' Grain Hauling Decision Tool'!$F$24*' Grain Hauling Decision Tool'!$E$18)+' Grain Hauling Decision Tool'!$H$24)*((D43*100)-(' Grain Hauling Decision Tool'!$C$24*100)))))))</f>
        <v>0.72499999999999998</v>
      </c>
      <c r="F43" s="159">
        <v>0.28999999999999998</v>
      </c>
      <c r="G43" s="96">
        <f>IF(' Grain Hauling Decision Tool'!$D$25="--Select--","",IF(F43&lt;' Grain Hauling Decision Tool'!$C$25,0,IF(' Grain Hauling Decision Tool'!$D$25="$ per bushel",(' Grain Hauling Decision Tool'!$F$25*((F43*100)-(' Grain Hauling Decision Tool'!$C$25*100))),IF(' Grain Hauling Decision Tool'!$D$25="% of weight/price",(' Grain Hauling Decision Tool'!$F$25*' Grain Hauling Decision Tool'!$E$19)*((F43*100)-(' Grain Hauling Decision Tool'!$C$25*100)),IF(' Grain Hauling Decision Tool'!$D$25="Shrink + Dry",((' Grain Hauling Decision Tool'!$F$25*' Grain Hauling Decision Tool'!$E$19)+' Grain Hauling Decision Tool'!$H$25)*((F43*100)-(' Grain Hauling Decision Tool'!$C$25*100)))))))</f>
        <v>1.7549999999999992</v>
      </c>
    </row>
    <row r="44" spans="2:13" x14ac:dyDescent="0.25">
      <c r="B44" s="156">
        <v>0.29499999999999998</v>
      </c>
      <c r="C44" s="94">
        <f>IF(' Grain Hauling Decision Tool'!$D$23="--Select--","",IF(B44&lt;' Grain Hauling Decision Tool'!$C$23,0,IF(' Grain Hauling Decision Tool'!$D$23="$ per bushel",(' Grain Hauling Decision Tool'!$F$23*((B44*100)-(' Grain Hauling Decision Tool'!$C$23*100))),IF(' Grain Hauling Decision Tool'!$D$23="% of weight/price",(' Grain Hauling Decision Tool'!$F$23*' Grain Hauling Decision Tool'!$E$17)*((B44*100)-(' Grain Hauling Decision Tool'!$C$23*100)),IF(' Grain Hauling Decision Tool'!$D$23="Shrink + Dry",((' Grain Hauling Decision Tool'!$F$23*' Grain Hauling Decision Tool'!$E$17)+' Grain Hauling Decision Tool'!$H$23)*((B44*100)-(' Grain Hauling Decision Tool'!$C$23*100)))))))</f>
        <v>0.75460000000000005</v>
      </c>
      <c r="D44" s="157">
        <v>0.29499999999999998</v>
      </c>
      <c r="E44" s="94">
        <f>IF(' Grain Hauling Decision Tool'!$D$24="--Select--","",IF(D44&lt;' Grain Hauling Decision Tool'!$C$24,0,IF(' Grain Hauling Decision Tool'!$D$24="$ per bushel",(' Grain Hauling Decision Tool'!$F$24*((D44*100)-(' Grain Hauling Decision Tool'!$C$24*100))),IF(' Grain Hauling Decision Tool'!$D$24="% of weight/price",(' Grain Hauling Decision Tool'!$F$24*' Grain Hauling Decision Tool'!$E$18)*((D44*100)-(' Grain Hauling Decision Tool'!$C$24*100)),IF(' Grain Hauling Decision Tool'!$D$24="Shrink + Dry",((' Grain Hauling Decision Tool'!$F$24*' Grain Hauling Decision Tool'!$E$18)+' Grain Hauling Decision Tool'!$H$24)*((D44*100)-(' Grain Hauling Decision Tool'!$C$24*100)))))))</f>
        <v>0.75000000000000011</v>
      </c>
      <c r="F44" s="157">
        <v>0.29499999999999998</v>
      </c>
      <c r="G44" s="97">
        <f>IF(' Grain Hauling Decision Tool'!$D$25="--Select--","",IF(F44&lt;' Grain Hauling Decision Tool'!$C$25,0,IF(' Grain Hauling Decision Tool'!$D$25="$ per bushel",(' Grain Hauling Decision Tool'!$F$25*((F44*100)-(' Grain Hauling Decision Tool'!$C$25*100))),IF(' Grain Hauling Decision Tool'!$D$25="% of weight/price",(' Grain Hauling Decision Tool'!$F$25*' Grain Hauling Decision Tool'!$E$19)*((F44*100)-(' Grain Hauling Decision Tool'!$C$25*100)),IF(' Grain Hauling Decision Tool'!$D$25="Shrink + Dry",((' Grain Hauling Decision Tool'!$F$25*' Grain Hauling Decision Tool'!$E$19)+' Grain Hauling Decision Tool'!$H$25)*((F44*100)-(' Grain Hauling Decision Tool'!$C$25*100)))))))</f>
        <v>1.8134999999999997</v>
      </c>
    </row>
    <row r="45" spans="2:13" ht="15.75" thickBot="1" x14ac:dyDescent="0.3">
      <c r="B45" s="160">
        <v>0.3</v>
      </c>
      <c r="C45" s="95">
        <f>IF(' Grain Hauling Decision Tool'!$D$23="--Select--","",IF(B45&lt;' Grain Hauling Decision Tool'!$C$23,0,IF(' Grain Hauling Decision Tool'!$D$23="$ per bushel",(' Grain Hauling Decision Tool'!$F$23*((B45*100)-(' Grain Hauling Decision Tool'!$C$23*100))),IF(' Grain Hauling Decision Tool'!$D$23="% of weight/price",(' Grain Hauling Decision Tool'!$F$23*' Grain Hauling Decision Tool'!$E$17)*((B45*100)-(' Grain Hauling Decision Tool'!$C$23*100)),IF(' Grain Hauling Decision Tool'!$D$23="Shrink + Dry",((' Grain Hauling Decision Tool'!$F$23*' Grain Hauling Decision Tool'!$E$17)+' Grain Hauling Decision Tool'!$H$23)*((B45*100)-(' Grain Hauling Decision Tool'!$C$23*100)))))))</f>
        <v>0.78155000000000008</v>
      </c>
      <c r="D45" s="161">
        <v>0.3</v>
      </c>
      <c r="E45" s="95">
        <f>IF(' Grain Hauling Decision Tool'!$D$24="--Select--","",IF(D45&lt;' Grain Hauling Decision Tool'!$C$24,0,IF(' Grain Hauling Decision Tool'!$D$24="$ per bushel",(' Grain Hauling Decision Tool'!$F$24*((D45*100)-(' Grain Hauling Decision Tool'!$C$24*100))),IF(' Grain Hauling Decision Tool'!$D$24="% of weight/price",(' Grain Hauling Decision Tool'!$F$24*' Grain Hauling Decision Tool'!$E$18)*((D45*100)-(' Grain Hauling Decision Tool'!$C$24*100)),IF(' Grain Hauling Decision Tool'!$D$24="Shrink + Dry",((' Grain Hauling Decision Tool'!$F$24*' Grain Hauling Decision Tool'!$E$18)+' Grain Hauling Decision Tool'!$H$24)*((D45*100)-(' Grain Hauling Decision Tool'!$C$24*100)))))))</f>
        <v>0.77500000000000013</v>
      </c>
      <c r="F45" s="161">
        <v>0.3</v>
      </c>
      <c r="G45" s="98">
        <f>IF(' Grain Hauling Decision Tool'!$D$25="--Select--","",IF(F45&lt;' Grain Hauling Decision Tool'!$C$25,0,IF(' Grain Hauling Decision Tool'!$D$25="$ per bushel",(' Grain Hauling Decision Tool'!$F$25*((F45*100)-(' Grain Hauling Decision Tool'!$C$25*100))),IF(' Grain Hauling Decision Tool'!$D$25="% of weight/price",(' Grain Hauling Decision Tool'!$F$25*' Grain Hauling Decision Tool'!$E$19)*((F45*100)-(' Grain Hauling Decision Tool'!$C$25*100)),IF(' Grain Hauling Decision Tool'!$D$25="Shrink + Dry",((' Grain Hauling Decision Tool'!$F$25*' Grain Hauling Decision Tool'!$E$19)+' Grain Hauling Decision Tool'!$H$25)*((F45*100)-(' Grain Hauling Decision Tool'!$C$25*100)))))))</f>
        <v>1.8719999999999997</v>
      </c>
    </row>
    <row r="46" spans="2:13" ht="15.75" thickBot="1" x14ac:dyDescent="0.3"/>
    <row r="47" spans="2:13" ht="20.25" thickBot="1" x14ac:dyDescent="0.35">
      <c r="B47" s="162" t="s">
        <v>121</v>
      </c>
      <c r="C47" s="163"/>
      <c r="D47" s="163"/>
      <c r="E47" s="163"/>
      <c r="F47" s="163"/>
      <c r="G47" s="163"/>
      <c r="H47" s="163"/>
      <c r="I47" s="163"/>
      <c r="J47" s="163"/>
      <c r="K47" s="163"/>
      <c r="L47" s="163"/>
      <c r="M47" s="164"/>
    </row>
    <row r="48" spans="2:13" ht="21" thickTop="1" thickBot="1" x14ac:dyDescent="0.35">
      <c r="B48" s="165" t="str">
        <f>'Decision Tool 6 Buyers'!$B$7</f>
        <v>BUYER 1</v>
      </c>
      <c r="C48" s="166"/>
      <c r="D48" s="166" t="str">
        <f>'Decision Tool 6 Buyers'!$B$8</f>
        <v>BUYER 2</v>
      </c>
      <c r="E48" s="166"/>
      <c r="F48" s="166" t="str">
        <f>'Decision Tool 6 Buyers'!$B$9</f>
        <v>BUYER 3</v>
      </c>
      <c r="G48" s="166"/>
      <c r="H48" s="166" t="str">
        <f>'Decision Tool 6 Buyers'!$B$10</f>
        <v>BUYER 4</v>
      </c>
      <c r="I48" s="166"/>
      <c r="J48" s="166" t="str">
        <f>'Decision Tool 6 Buyers'!$B$11</f>
        <v>BUYER 5</v>
      </c>
      <c r="K48" s="166"/>
      <c r="L48" s="166" t="str">
        <f>'Decision Tool 6 Buyers'!$B$12</f>
        <v>BUYER 6</v>
      </c>
      <c r="M48" s="167"/>
    </row>
    <row r="49" spans="2:13" ht="31.5" thickTop="1" thickBot="1" x14ac:dyDescent="0.3">
      <c r="B49" s="151" t="s">
        <v>49</v>
      </c>
      <c r="C49" s="152" t="s">
        <v>50</v>
      </c>
      <c r="D49" s="152" t="s">
        <v>49</v>
      </c>
      <c r="E49" s="152" t="s">
        <v>50</v>
      </c>
      <c r="F49" s="152" t="s">
        <v>49</v>
      </c>
      <c r="G49" s="152" t="s">
        <v>50</v>
      </c>
      <c r="H49" s="152" t="s">
        <v>49</v>
      </c>
      <c r="I49" s="152" t="s">
        <v>50</v>
      </c>
      <c r="J49" s="152" t="s">
        <v>49</v>
      </c>
      <c r="K49" s="152" t="s">
        <v>50</v>
      </c>
      <c r="L49" s="152" t="s">
        <v>49</v>
      </c>
      <c r="M49" s="153" t="s">
        <v>50</v>
      </c>
    </row>
    <row r="50" spans="2:13" x14ac:dyDescent="0.25">
      <c r="B50" s="154">
        <v>0.13</v>
      </c>
      <c r="C50" s="93">
        <f>IF('Decision Tool 6 Buyers'!$D$27="--Select--","",IF(B50&lt;'Decision Tool 6 Buyers'!$C$27,0,IF('Decision Tool 6 Buyers'!$D$27="$ per bushel",('Decision Tool 6 Buyers'!$F$27*((B50*100)-('Decision Tool 6 Buyers'!$C$27*100))),IF('Decision Tool 6 Buyers'!$D$27="% of weight/price",('Decision Tool 6 Buyers'!$F$27*'Decision Tool 6 Buyers'!$E$18)*((B50*100)-('Decision Tool 6 Buyers'!$C$27*100)),IF('Decision Tool 6 Buyers'!$D$27="Shrink + Dry",(('Decision Tool 6 Buyers'!$F$27*'Decision Tool 6 Buyers'!$E$18)+'Decision Tool 6 Buyers'!$H$27)*((B50*100)-('Decision Tool 6 Buyers'!$C$27*100)))))))</f>
        <v>0</v>
      </c>
      <c r="D50" s="155">
        <v>0.13</v>
      </c>
      <c r="E50" s="93">
        <f>IF('Decision Tool 6 Buyers'!$D$28="--Select--","",IF(D50&lt;'Decision Tool 6 Buyers'!$C$28,0,IF('Decision Tool 6 Buyers'!$D$28="$ per bushel",('Decision Tool 6 Buyers'!$F$28*((D50*100)-('Decision Tool 6 Buyers'!$C$28*100))),IF('Decision Tool 6 Buyers'!$D$28="% of weight/price",('Decision Tool 6 Buyers'!$F$28*'Decision Tool 6 Buyers'!$E$19)*((D50*100)-('Decision Tool 6 Buyers'!$C$28*100)),IF('Decision Tool 6 Buyers'!$D$28="Shrink + Dry",(('Decision Tool 6 Buyers'!$F$28*'Decision Tool 6 Buyers'!$E$19)+'Decision Tool 6 Buyers'!$H$28)*((D50*100)-('Decision Tool 6 Buyers'!$C$28*100)))))))</f>
        <v>0</v>
      </c>
      <c r="F50" s="155">
        <v>0.13</v>
      </c>
      <c r="G50" s="93">
        <f>IF('Decision Tool 6 Buyers'!$D$29="--Select--","",IF(F50&lt;'Decision Tool 6 Buyers'!$C$29,0,IF('Decision Tool 6 Buyers'!$D$29="$ per bushel",('Decision Tool 6 Buyers'!$F$29*((F50*100)-('Decision Tool 6 Buyers'!$C$29*100))),IF('Decision Tool 6 Buyers'!$D$29="% of weight/price",('Decision Tool 6 Buyers'!$F$29*'Decision Tool 6 Buyers'!$E$20)*((F50*100)-('Decision Tool 6 Buyers'!$C$29*100)),IF('Decision Tool 6 Buyers'!$D$29="Shrink + Dry",(('Decision Tool 6 Buyers'!$F$29*'Decision Tool 6 Buyers'!$E$20)+'Decision Tool 6 Buyers'!$H$29)*((F50*100)-('Decision Tool 6 Buyers'!$C$29*100)))))))</f>
        <v>0</v>
      </c>
      <c r="H50" s="155">
        <v>0.13</v>
      </c>
      <c r="I50" s="93">
        <f>IF('Decision Tool 6 Buyers'!$D$30="--Select--","",IF(H50&lt;'Decision Tool 6 Buyers'!$C$30,0,IF('Decision Tool 6 Buyers'!$D$30="$ per bushel",('Decision Tool 6 Buyers'!$F$30*((H50*100)-('Decision Tool 6 Buyers'!$C$30*100))),IF('Decision Tool 6 Buyers'!$D$30="% of weight/price",('Decision Tool 6 Buyers'!$F$30*'Decision Tool 6 Buyers'!$E$21)*((H50*100)-('Decision Tool 6 Buyers'!$C$30*100)),IF('Decision Tool 6 Buyers'!$D$30="Shrink + Dry",(('Decision Tool 6 Buyers'!$F$30*'Decision Tool 6 Buyers'!$E$21)+'Decision Tool 6 Buyers'!$H$30)*((H50*100)-('Decision Tool 6 Buyers'!$C$30*100)))))))</f>
        <v>0</v>
      </c>
      <c r="J50" s="155">
        <v>0.13</v>
      </c>
      <c r="K50" s="93">
        <f>IF('Decision Tool 6 Buyers'!$D$31="--Select--","",IF(J50&lt;'Decision Tool 6 Buyers'!$C$31,0,IF('Decision Tool 6 Buyers'!$D$31="$ per bushel",('Decision Tool 6 Buyers'!$F$31*((J50*100)-('Decision Tool 6 Buyers'!$C$31*100))),IF('Decision Tool 6 Buyers'!$D$31="% of weight/price",('Decision Tool 6 Buyers'!$F$31*'Decision Tool 6 Buyers'!$E$22)*((J50*100)-('Decision Tool 6 Buyers'!$C$31*100)),IF('Decision Tool 6 Buyers'!$D$31="Shrink + Dry",(('Decision Tool 6 Buyers'!$F$31*'Decision Tool 6 Buyers'!$E$22)+'Decision Tool 6 Buyers'!$H$31)*((J50*100)-('Decision Tool 6 Buyers'!$C$31*100)))))))</f>
        <v>0</v>
      </c>
      <c r="L50" s="155">
        <v>0.13</v>
      </c>
      <c r="M50" s="96">
        <f>IF('Decision Tool 6 Buyers'!$D$32="--Select--","",IF(L50&lt;'Decision Tool 6 Buyers'!$C$32,0,IF('Decision Tool 6 Buyers'!$D$32="$ per bushel",('Decision Tool 6 Buyers'!$F$32*((L50*100)-('Decision Tool 6 Buyers'!$C$32*100))),IF('Decision Tool 6 Buyers'!$D$32="% of weight/price",('Decision Tool 6 Buyers'!$F$32*'Decision Tool 6 Buyers'!$E$23)*((L50*100)-('Decision Tool 6 Buyers'!$C$32*100)),IF('Decision Tool 6 Buyers'!$D$32="Shrink + Dry",(('Decision Tool 6 Buyers'!$F$32*'Decision Tool 6 Buyers'!$E$23)+'Decision Tool 6 Buyers'!$H$32)*((L50*100)-('Decision Tool 6 Buyers'!$C$32*100)))))))</f>
        <v>0</v>
      </c>
    </row>
    <row r="51" spans="2:13" x14ac:dyDescent="0.25">
      <c r="B51" s="156">
        <v>0.13500000000000001</v>
      </c>
      <c r="C51" s="94">
        <f>IF('Decision Tool 6 Buyers'!$D$27="--Select--","",IF(B51&lt;'Decision Tool 6 Buyers'!$C$27,0,IF('Decision Tool 6 Buyers'!$D$27="$ per bushel",('Decision Tool 6 Buyers'!$F$27*((B51*100)-('Decision Tool 6 Buyers'!$C$27*100))),IF('Decision Tool 6 Buyers'!$D$27="% of weight/price",('Decision Tool 6 Buyers'!$F$27*'Decision Tool 6 Buyers'!$E$18)*((B51*100)-('Decision Tool 6 Buyers'!$C$27*100)),IF('Decision Tool 6 Buyers'!$D$27="Shrink + Dry",(('Decision Tool 6 Buyers'!$F$27*'Decision Tool 6 Buyers'!$E$18)+'Decision Tool 6 Buyers'!$H$27)*((B51*100)-('Decision Tool 6 Buyers'!$C$27*100)))))))</f>
        <v>0</v>
      </c>
      <c r="D51" s="157">
        <v>0.13500000000000001</v>
      </c>
      <c r="E51" s="94">
        <f>IF('Decision Tool 6 Buyers'!$D$28="--Select--","",IF(D51&lt;'Decision Tool 6 Buyers'!$C$28,0,IF('Decision Tool 6 Buyers'!$D$28="$ per bushel",('Decision Tool 6 Buyers'!$F$28*((D51*100)-('Decision Tool 6 Buyers'!$C$28*100))),IF('Decision Tool 6 Buyers'!$D$28="% of weight/price",('Decision Tool 6 Buyers'!$F$28*'Decision Tool 6 Buyers'!$E$19)*((D51*100)-('Decision Tool 6 Buyers'!$C$28*100)),IF('Decision Tool 6 Buyers'!$D$28="Shrink + Dry",(('Decision Tool 6 Buyers'!$F$28*'Decision Tool 6 Buyers'!$E$19)+'Decision Tool 6 Buyers'!$H$28)*((D51*100)-('Decision Tool 6 Buyers'!$C$28*100)))))))</f>
        <v>0</v>
      </c>
      <c r="F51" s="157">
        <v>0.13500000000000001</v>
      </c>
      <c r="G51" s="94">
        <f>IF('Decision Tool 6 Buyers'!$D$29="--Select--","",IF(F51&lt;'Decision Tool 6 Buyers'!$C$29,0,IF('Decision Tool 6 Buyers'!$D$29="$ per bushel",('Decision Tool 6 Buyers'!$F$29*((F51*100)-('Decision Tool 6 Buyers'!$C$29*100))),IF('Decision Tool 6 Buyers'!$D$29="% of weight/price",('Decision Tool 6 Buyers'!$F$29*'Decision Tool 6 Buyers'!$E$20)*((F51*100)-('Decision Tool 6 Buyers'!$C$29*100)),IF('Decision Tool 6 Buyers'!$D$29="Shrink + Dry",(('Decision Tool 6 Buyers'!$F$29*'Decision Tool 6 Buyers'!$E$20)+'Decision Tool 6 Buyers'!$H$29)*((F51*100)-('Decision Tool 6 Buyers'!$C$29*100)))))))</f>
        <v>0</v>
      </c>
      <c r="H51" s="157">
        <v>0.13500000000000001</v>
      </c>
      <c r="I51" s="94">
        <f>IF('Decision Tool 6 Buyers'!$D$30="--Select--","",IF(H51&lt;'Decision Tool 6 Buyers'!$C$30,0,IF('Decision Tool 6 Buyers'!$D$30="$ per bushel",('Decision Tool 6 Buyers'!$F$30*((H51*100)-('Decision Tool 6 Buyers'!$C$30*100))),IF('Decision Tool 6 Buyers'!$D$30="% of weight/price",('Decision Tool 6 Buyers'!$F$30*'Decision Tool 6 Buyers'!$E$21)*((H51*100)-('Decision Tool 6 Buyers'!$C$30*100)),IF('Decision Tool 6 Buyers'!$D$30="Shrink + Dry",(('Decision Tool 6 Buyers'!$F$30*'Decision Tool 6 Buyers'!$E$21)+'Decision Tool 6 Buyers'!$H$30)*((H51*100)-('Decision Tool 6 Buyers'!$C$30*100)))))))</f>
        <v>0</v>
      </c>
      <c r="J51" s="157">
        <v>0.13500000000000001</v>
      </c>
      <c r="K51" s="94">
        <f>IF('Decision Tool 6 Buyers'!$D$31="--Select--","",IF(J51&lt;'Decision Tool 6 Buyers'!$C$31,0,IF('Decision Tool 6 Buyers'!$D$31="$ per bushel",('Decision Tool 6 Buyers'!$F$31*((J51*100)-('Decision Tool 6 Buyers'!$C$31*100))),IF('Decision Tool 6 Buyers'!$D$31="% of weight/price",('Decision Tool 6 Buyers'!$F$31*'Decision Tool 6 Buyers'!$E$22)*((J51*100)-('Decision Tool 6 Buyers'!$C$31*100)),IF('Decision Tool 6 Buyers'!$D$31="Shrink + Dry",(('Decision Tool 6 Buyers'!$F$31*'Decision Tool 6 Buyers'!$E$22)+'Decision Tool 6 Buyers'!$H$31)*((J51*100)-('Decision Tool 6 Buyers'!$C$31*100)))))))</f>
        <v>0</v>
      </c>
      <c r="L51" s="157">
        <v>0.13500000000000001</v>
      </c>
      <c r="M51" s="97">
        <f>IF('Decision Tool 6 Buyers'!$D$32="--Select--","",IF(L51&lt;'Decision Tool 6 Buyers'!$C$32,0,IF('Decision Tool 6 Buyers'!$D$32="$ per bushel",('Decision Tool 6 Buyers'!$F$32*((L51*100)-('Decision Tool 6 Buyers'!$C$32*100))),IF('Decision Tool 6 Buyers'!$D$32="% of weight/price",('Decision Tool 6 Buyers'!$F$32*'Decision Tool 6 Buyers'!$E$23)*((L51*100)-('Decision Tool 6 Buyers'!$C$32*100)),IF('Decision Tool 6 Buyers'!$D$32="Shrink + Dry",(('Decision Tool 6 Buyers'!$F$32*'Decision Tool 6 Buyers'!$E$23)+'Decision Tool 6 Buyers'!$H$32)*((L51*100)-('Decision Tool 6 Buyers'!$C$32*100)))))))</f>
        <v>0</v>
      </c>
    </row>
    <row r="52" spans="2:13" x14ac:dyDescent="0.25">
      <c r="B52" s="158">
        <v>0.14000000000000001</v>
      </c>
      <c r="C52" s="93">
        <f>IF('Decision Tool 6 Buyers'!$D$27="--Select--","",IF(B52&lt;'Decision Tool 6 Buyers'!$C$27,0,IF('Decision Tool 6 Buyers'!$D$27="$ per bushel",('Decision Tool 6 Buyers'!$F$27*((B52*100)-('Decision Tool 6 Buyers'!$C$27*100))),IF('Decision Tool 6 Buyers'!$D$27="% of weight/price",('Decision Tool 6 Buyers'!$F$27*'Decision Tool 6 Buyers'!$E$18)*((B52*100)-('Decision Tool 6 Buyers'!$C$27*100)),IF('Decision Tool 6 Buyers'!$D$27="Shrink + Dry",(('Decision Tool 6 Buyers'!$F$27*'Decision Tool 6 Buyers'!$E$18)+'Decision Tool 6 Buyers'!$H$27)*((B52*100)-('Decision Tool 6 Buyers'!$C$27*100)))))))</f>
        <v>0</v>
      </c>
      <c r="D52" s="159">
        <v>0.14000000000000001</v>
      </c>
      <c r="E52" s="93">
        <f>IF('Decision Tool 6 Buyers'!$D$28="--Select--","",IF(D52&lt;'Decision Tool 6 Buyers'!$C$28,0,IF('Decision Tool 6 Buyers'!$D$28="$ per bushel",('Decision Tool 6 Buyers'!$F$28*((D52*100)-('Decision Tool 6 Buyers'!$C$28*100))),IF('Decision Tool 6 Buyers'!$D$28="% of weight/price",('Decision Tool 6 Buyers'!$F$28*'Decision Tool 6 Buyers'!$E$19)*((D52*100)-('Decision Tool 6 Buyers'!$C$28*100)),IF('Decision Tool 6 Buyers'!$D$28="Shrink + Dry",(('Decision Tool 6 Buyers'!$F$28*'Decision Tool 6 Buyers'!$E$19)+'Decision Tool 6 Buyers'!$H$28)*((D52*100)-('Decision Tool 6 Buyers'!$C$28*100)))))))</f>
        <v>0</v>
      </c>
      <c r="F52" s="159">
        <v>0.14000000000000001</v>
      </c>
      <c r="G52" s="93">
        <f>IF('Decision Tool 6 Buyers'!$D$29="--Select--","",IF(F52&lt;'Decision Tool 6 Buyers'!$C$29,0,IF('Decision Tool 6 Buyers'!$D$29="$ per bushel",('Decision Tool 6 Buyers'!$F$29*((F52*100)-('Decision Tool 6 Buyers'!$C$29*100))),IF('Decision Tool 6 Buyers'!$D$29="% of weight/price",('Decision Tool 6 Buyers'!$F$29*'Decision Tool 6 Buyers'!$E$20)*((F52*100)-('Decision Tool 6 Buyers'!$C$29*100)),IF('Decision Tool 6 Buyers'!$D$29="Shrink + Dry",(('Decision Tool 6 Buyers'!$F$29*'Decision Tool 6 Buyers'!$E$20)+'Decision Tool 6 Buyers'!$H$29)*((F52*100)-('Decision Tool 6 Buyers'!$C$29*100)))))))</f>
        <v>0</v>
      </c>
      <c r="H52" s="159">
        <v>0.14000000000000001</v>
      </c>
      <c r="I52" s="93">
        <f>IF('Decision Tool 6 Buyers'!$D$30="--Select--","",IF(H52&lt;'Decision Tool 6 Buyers'!$C$30,0,IF('Decision Tool 6 Buyers'!$D$30="$ per bushel",('Decision Tool 6 Buyers'!$F$30*((H52*100)-('Decision Tool 6 Buyers'!$C$30*100))),IF('Decision Tool 6 Buyers'!$D$30="% of weight/price",('Decision Tool 6 Buyers'!$F$30*'Decision Tool 6 Buyers'!$E$21)*((H52*100)-('Decision Tool 6 Buyers'!$C$30*100)),IF('Decision Tool 6 Buyers'!$D$30="Shrink + Dry",(('Decision Tool 6 Buyers'!$F$30*'Decision Tool 6 Buyers'!$E$21)+'Decision Tool 6 Buyers'!$H$30)*((H52*100)-('Decision Tool 6 Buyers'!$C$30*100)))))))</f>
        <v>0</v>
      </c>
      <c r="J52" s="159">
        <v>0.14000000000000001</v>
      </c>
      <c r="K52" s="93">
        <f>IF('Decision Tool 6 Buyers'!$D$31="--Select--","",IF(J52&lt;'Decision Tool 6 Buyers'!$C$31,0,IF('Decision Tool 6 Buyers'!$D$31="$ per bushel",('Decision Tool 6 Buyers'!$F$31*((J52*100)-('Decision Tool 6 Buyers'!$C$31*100))),IF('Decision Tool 6 Buyers'!$D$31="% of weight/price",('Decision Tool 6 Buyers'!$F$31*'Decision Tool 6 Buyers'!$E$22)*((J52*100)-('Decision Tool 6 Buyers'!$C$31*100)),IF('Decision Tool 6 Buyers'!$D$31="Shrink + Dry",(('Decision Tool 6 Buyers'!$F$31*'Decision Tool 6 Buyers'!$E$22)+'Decision Tool 6 Buyers'!$H$31)*((J52*100)-('Decision Tool 6 Buyers'!$C$31*100)))))))</f>
        <v>0</v>
      </c>
      <c r="L52" s="159">
        <v>0.14000000000000001</v>
      </c>
      <c r="M52" s="96">
        <f>IF('Decision Tool 6 Buyers'!$D$32="--Select--","",IF(L52&lt;'Decision Tool 6 Buyers'!$C$32,0,IF('Decision Tool 6 Buyers'!$D$32="$ per bushel",('Decision Tool 6 Buyers'!$F$32*((L52*100)-('Decision Tool 6 Buyers'!$C$32*100))),IF('Decision Tool 6 Buyers'!$D$32="% of weight/price",('Decision Tool 6 Buyers'!$F$32*'Decision Tool 6 Buyers'!$E$23)*((L52*100)-('Decision Tool 6 Buyers'!$C$32*100)),IF('Decision Tool 6 Buyers'!$D$32="Shrink + Dry",(('Decision Tool 6 Buyers'!$F$32*'Decision Tool 6 Buyers'!$E$23)+'Decision Tool 6 Buyers'!$H$32)*((L52*100)-('Decision Tool 6 Buyers'!$C$32*100)))))))</f>
        <v>0</v>
      </c>
    </row>
    <row r="53" spans="2:13" x14ac:dyDescent="0.25">
      <c r="B53" s="156">
        <v>0.14499999999999999</v>
      </c>
      <c r="C53" s="94">
        <f>IF('Decision Tool 6 Buyers'!$D$27="--Select--","",IF(B53&lt;'Decision Tool 6 Buyers'!$C$27,0,IF('Decision Tool 6 Buyers'!$D$27="$ per bushel",('Decision Tool 6 Buyers'!$F$27*((B53*100)-('Decision Tool 6 Buyers'!$C$27*100))),IF('Decision Tool 6 Buyers'!$D$27="% of weight/price",('Decision Tool 6 Buyers'!$F$27*'Decision Tool 6 Buyers'!$E$18)*((B53*100)-('Decision Tool 6 Buyers'!$C$27*100)),IF('Decision Tool 6 Buyers'!$D$27="Shrink + Dry",(('Decision Tool 6 Buyers'!$F$27*'Decision Tool 6 Buyers'!$E$18)+'Decision Tool 6 Buyers'!$H$27)*((B53*100)-('Decision Tool 6 Buyers'!$C$27*100)))))))</f>
        <v>0</v>
      </c>
      <c r="D53" s="157">
        <v>0.14499999999999999</v>
      </c>
      <c r="E53" s="94">
        <f>IF('Decision Tool 6 Buyers'!$D$28="--Select--","",IF(D53&lt;'Decision Tool 6 Buyers'!$C$28,0,IF('Decision Tool 6 Buyers'!$D$28="$ per bushel",('Decision Tool 6 Buyers'!$F$28*((D53*100)-('Decision Tool 6 Buyers'!$C$28*100))),IF('Decision Tool 6 Buyers'!$D$28="% of weight/price",('Decision Tool 6 Buyers'!$F$28*'Decision Tool 6 Buyers'!$E$19)*((D53*100)-('Decision Tool 6 Buyers'!$C$28*100)),IF('Decision Tool 6 Buyers'!$D$28="Shrink + Dry",(('Decision Tool 6 Buyers'!$F$28*'Decision Tool 6 Buyers'!$E$19)+'Decision Tool 6 Buyers'!$H$28)*((D53*100)-('Decision Tool 6 Buyers'!$C$28*100)))))))</f>
        <v>0</v>
      </c>
      <c r="F53" s="157">
        <v>0.14499999999999999</v>
      </c>
      <c r="G53" s="94">
        <f>IF('Decision Tool 6 Buyers'!$D$29="--Select--","",IF(F53&lt;'Decision Tool 6 Buyers'!$C$29,0,IF('Decision Tool 6 Buyers'!$D$29="$ per bushel",('Decision Tool 6 Buyers'!$F$29*((F53*100)-('Decision Tool 6 Buyers'!$C$29*100))),IF('Decision Tool 6 Buyers'!$D$29="% of weight/price",('Decision Tool 6 Buyers'!$F$29*'Decision Tool 6 Buyers'!$E$20)*((F53*100)-('Decision Tool 6 Buyers'!$C$29*100)),IF('Decision Tool 6 Buyers'!$D$29="Shrink + Dry",(('Decision Tool 6 Buyers'!$F$29*'Decision Tool 6 Buyers'!$E$20)+'Decision Tool 6 Buyers'!$H$29)*((F53*100)-('Decision Tool 6 Buyers'!$C$29*100)))))))</f>
        <v>3.0999999999999785E-2</v>
      </c>
      <c r="H53" s="157">
        <v>0.14499999999999999</v>
      </c>
      <c r="I53" s="94">
        <f>IF('Decision Tool 6 Buyers'!$D$30="--Select--","",IF(H53&lt;'Decision Tool 6 Buyers'!$C$30,0,IF('Decision Tool 6 Buyers'!$D$30="$ per bushel",('Decision Tool 6 Buyers'!$F$30*((H53*100)-('Decision Tool 6 Buyers'!$C$30*100))),IF('Decision Tool 6 Buyers'!$D$30="% of weight/price",('Decision Tool 6 Buyers'!$F$30*'Decision Tool 6 Buyers'!$E$21)*((H53*100)-('Decision Tool 6 Buyers'!$C$30*100)),IF('Decision Tool 6 Buyers'!$D$30="Shrink + Dry",(('Decision Tool 6 Buyers'!$F$30*'Decision Tool 6 Buyers'!$E$21)+'Decision Tool 6 Buyers'!$H$30)*((H53*100)-('Decision Tool 6 Buyers'!$C$30*100)))))))</f>
        <v>0</v>
      </c>
      <c r="J53" s="157">
        <v>0.14499999999999999</v>
      </c>
      <c r="K53" s="94">
        <f>IF('Decision Tool 6 Buyers'!$D$31="--Select--","",IF(J53&lt;'Decision Tool 6 Buyers'!$C$31,0,IF('Decision Tool 6 Buyers'!$D$31="$ per bushel",('Decision Tool 6 Buyers'!$F$31*((J53*100)-('Decision Tool 6 Buyers'!$C$31*100))),IF('Decision Tool 6 Buyers'!$D$31="% of weight/price",('Decision Tool 6 Buyers'!$F$31*'Decision Tool 6 Buyers'!$E$22)*((J53*100)-('Decision Tool 6 Buyers'!$C$31*100)),IF('Decision Tool 6 Buyers'!$D$31="Shrink + Dry",(('Decision Tool 6 Buyers'!$F$31*'Decision Tool 6 Buyers'!$E$22)+'Decision Tool 6 Buyers'!$H$31)*((J53*100)-('Decision Tool 6 Buyers'!$C$31*100)))))))</f>
        <v>0</v>
      </c>
      <c r="L53" s="157">
        <v>0.14499999999999999</v>
      </c>
      <c r="M53" s="97">
        <f>IF('Decision Tool 6 Buyers'!$D$32="--Select--","",IF(L53&lt;'Decision Tool 6 Buyers'!$C$32,0,IF('Decision Tool 6 Buyers'!$D$32="$ per bushel",('Decision Tool 6 Buyers'!$F$32*((L53*100)-('Decision Tool 6 Buyers'!$C$32*100))),IF('Decision Tool 6 Buyers'!$D$32="% of weight/price",('Decision Tool 6 Buyers'!$F$32*'Decision Tool 6 Buyers'!$E$23)*((L53*100)-('Decision Tool 6 Buyers'!$C$32*100)),IF('Decision Tool 6 Buyers'!$D$32="Shrink + Dry",(('Decision Tool 6 Buyers'!$F$32*'Decision Tool 6 Buyers'!$E$23)+'Decision Tool 6 Buyers'!$H$32)*((L53*100)-('Decision Tool 6 Buyers'!$C$32*100)))))))</f>
        <v>0</v>
      </c>
    </row>
    <row r="54" spans="2:13" x14ac:dyDescent="0.25">
      <c r="B54" s="158">
        <v>0.15</v>
      </c>
      <c r="C54" s="93">
        <f>IF('Decision Tool 6 Buyers'!$D$27="--Select--","",IF(B54&lt;'Decision Tool 6 Buyers'!$C$27,0,IF('Decision Tool 6 Buyers'!$D$27="$ per bushel",('Decision Tool 6 Buyers'!$F$27*((B54*100)-('Decision Tool 6 Buyers'!$C$27*100))),IF('Decision Tool 6 Buyers'!$D$27="% of weight/price",('Decision Tool 6 Buyers'!$F$27*'Decision Tool 6 Buyers'!$E$18)*((B54*100)-('Decision Tool 6 Buyers'!$C$27*100)),IF('Decision Tool 6 Buyers'!$D$27="Shrink + Dry",(('Decision Tool 6 Buyers'!$F$27*'Decision Tool 6 Buyers'!$E$18)+'Decision Tool 6 Buyers'!$H$27)*((B54*100)-('Decision Tool 6 Buyers'!$C$27*100)))))))</f>
        <v>0</v>
      </c>
      <c r="D54" s="159">
        <v>0.15</v>
      </c>
      <c r="E54" s="93">
        <f>IF('Decision Tool 6 Buyers'!$D$28="--Select--","",IF(D54&lt;'Decision Tool 6 Buyers'!$C$28,0,IF('Decision Tool 6 Buyers'!$D$28="$ per bushel",('Decision Tool 6 Buyers'!$F$28*((D54*100)-('Decision Tool 6 Buyers'!$C$28*100))),IF('Decision Tool 6 Buyers'!$D$28="% of weight/price",('Decision Tool 6 Buyers'!$F$28*'Decision Tool 6 Buyers'!$E$19)*((D54*100)-('Decision Tool 6 Buyers'!$C$28*100)),IF('Decision Tool 6 Buyers'!$D$28="Shrink + Dry",(('Decision Tool 6 Buyers'!$F$28*'Decision Tool 6 Buyers'!$E$19)+'Decision Tool 6 Buyers'!$H$28)*((D54*100)-('Decision Tool 6 Buyers'!$C$28*100)))))))</f>
        <v>5.0000000000000183E-2</v>
      </c>
      <c r="F54" s="159">
        <v>0.15</v>
      </c>
      <c r="G54" s="93">
        <f>IF('Decision Tool 6 Buyers'!$D$29="--Select--","",IF(F54&lt;'Decision Tool 6 Buyers'!$C$29,0,IF('Decision Tool 6 Buyers'!$D$29="$ per bushel",('Decision Tool 6 Buyers'!$F$29*((F54*100)-('Decision Tool 6 Buyers'!$C$29*100))),IF('Decision Tool 6 Buyers'!$D$29="% of weight/price",('Decision Tool 6 Buyers'!$F$29*'Decision Tool 6 Buyers'!$E$20)*((F54*100)-('Decision Tool 6 Buyers'!$C$29*100)),IF('Decision Tool 6 Buyers'!$D$29="Shrink + Dry",(('Decision Tool 6 Buyers'!$F$29*'Decision Tool 6 Buyers'!$E$20)+'Decision Tool 6 Buyers'!$H$29)*((F54*100)-('Decision Tool 6 Buyers'!$C$29*100)))))))</f>
        <v>6.1999999999999895E-2</v>
      </c>
      <c r="H54" s="159">
        <v>0.15</v>
      </c>
      <c r="I54" s="93">
        <f>IF('Decision Tool 6 Buyers'!$D$30="--Select--","",IF(H54&lt;'Decision Tool 6 Buyers'!$C$30,0,IF('Decision Tool 6 Buyers'!$D$30="$ per bushel",('Decision Tool 6 Buyers'!$F$30*((H54*100)-('Decision Tool 6 Buyers'!$C$30*100))),IF('Decision Tool 6 Buyers'!$D$30="% of weight/price",('Decision Tool 6 Buyers'!$F$30*'Decision Tool 6 Buyers'!$E$21)*((H54*100)-('Decision Tool 6 Buyers'!$C$30*100)),IF('Decision Tool 6 Buyers'!$D$30="Shrink + Dry",(('Decision Tool 6 Buyers'!$F$30*'Decision Tool 6 Buyers'!$E$21)+'Decision Tool 6 Buyers'!$H$30)*((H54*100)-('Decision Tool 6 Buyers'!$C$30*100)))))))</f>
        <v>0</v>
      </c>
      <c r="J54" s="159">
        <v>0.15</v>
      </c>
      <c r="K54" s="93">
        <f>IF('Decision Tool 6 Buyers'!$D$31="--Select--","",IF(J54&lt;'Decision Tool 6 Buyers'!$C$31,0,IF('Decision Tool 6 Buyers'!$D$31="$ per bushel",('Decision Tool 6 Buyers'!$F$31*((J54*100)-('Decision Tool 6 Buyers'!$C$31*100))),IF('Decision Tool 6 Buyers'!$D$31="% of weight/price",('Decision Tool 6 Buyers'!$F$31*'Decision Tool 6 Buyers'!$E$22)*((J54*100)-('Decision Tool 6 Buyers'!$C$31*100)),IF('Decision Tool 6 Buyers'!$D$31="Shrink + Dry",(('Decision Tool 6 Buyers'!$F$31*'Decision Tool 6 Buyers'!$E$22)+'Decision Tool 6 Buyers'!$H$31)*((J54*100)-('Decision Tool 6 Buyers'!$C$31*100)))))))</f>
        <v>7.5000000000000266E-3</v>
      </c>
      <c r="L54" s="159">
        <v>0.15</v>
      </c>
      <c r="M54" s="96">
        <f>IF('Decision Tool 6 Buyers'!$D$32="--Select--","",IF(L54&lt;'Decision Tool 6 Buyers'!$C$32,0,IF('Decision Tool 6 Buyers'!$D$32="$ per bushel",('Decision Tool 6 Buyers'!$F$32*((L54*100)-('Decision Tool 6 Buyers'!$C$32*100))),IF('Decision Tool 6 Buyers'!$D$32="% of weight/price",('Decision Tool 6 Buyers'!$F$32*'Decision Tool 6 Buyers'!$E$23)*((L54*100)-('Decision Tool 6 Buyers'!$C$32*100)),IF('Decision Tool 6 Buyers'!$D$32="Shrink + Dry",(('Decision Tool 6 Buyers'!$F$32*'Decision Tool 6 Buyers'!$E$23)+'Decision Tool 6 Buyers'!$H$32)*((L54*100)-('Decision Tool 6 Buyers'!$C$32*100)))))))</f>
        <v>0</v>
      </c>
    </row>
    <row r="55" spans="2:13" x14ac:dyDescent="0.25">
      <c r="B55" s="156">
        <v>0.155</v>
      </c>
      <c r="C55" s="94">
        <f>IF('Decision Tool 6 Buyers'!$D$27="--Select--","",IF(B55&lt;'Decision Tool 6 Buyers'!$C$27,0,IF('Decision Tool 6 Buyers'!$D$27="$ per bushel",('Decision Tool 6 Buyers'!$F$27*((B55*100)-('Decision Tool 6 Buyers'!$C$27*100))),IF('Decision Tool 6 Buyers'!$D$27="% of weight/price",('Decision Tool 6 Buyers'!$F$27*'Decision Tool 6 Buyers'!$E$18)*((B55*100)-('Decision Tool 6 Buyers'!$C$27*100)),IF('Decision Tool 6 Buyers'!$D$27="Shrink + Dry",(('Decision Tool 6 Buyers'!$F$27*'Decision Tool 6 Buyers'!$E$18)+'Decision Tool 6 Buyers'!$H$27)*((B55*100)-('Decision Tool 6 Buyers'!$C$27*100)))))))</f>
        <v>0</v>
      </c>
      <c r="D55" s="157">
        <v>0.155</v>
      </c>
      <c r="E55" s="94">
        <f>IF('Decision Tool 6 Buyers'!$D$28="--Select--","",IF(D55&lt;'Decision Tool 6 Buyers'!$C$28,0,IF('Decision Tool 6 Buyers'!$D$28="$ per bushel",('Decision Tool 6 Buyers'!$F$28*((D55*100)-('Decision Tool 6 Buyers'!$C$28*100))),IF('Decision Tool 6 Buyers'!$D$28="% of weight/price",('Decision Tool 6 Buyers'!$F$28*'Decision Tool 6 Buyers'!$E$19)*((D55*100)-('Decision Tool 6 Buyers'!$C$28*100)),IF('Decision Tool 6 Buyers'!$D$28="Shrink + Dry",(('Decision Tool 6 Buyers'!$F$28*'Decision Tool 6 Buyers'!$E$19)+'Decision Tool 6 Buyers'!$H$28)*((D55*100)-('Decision Tool 6 Buyers'!$C$28*100)))))))</f>
        <v>0.10000000000000019</v>
      </c>
      <c r="F55" s="157">
        <v>0.155</v>
      </c>
      <c r="G55" s="94">
        <f>IF('Decision Tool 6 Buyers'!$D$29="--Select--","",IF(F55&lt;'Decision Tool 6 Buyers'!$C$29,0,IF('Decision Tool 6 Buyers'!$D$29="$ per bushel",('Decision Tool 6 Buyers'!$F$29*((F55*100)-('Decision Tool 6 Buyers'!$C$29*100))),IF('Decision Tool 6 Buyers'!$D$29="% of weight/price",('Decision Tool 6 Buyers'!$F$29*'Decision Tool 6 Buyers'!$E$20)*((F55*100)-('Decision Tool 6 Buyers'!$C$29*100)),IF('Decision Tool 6 Buyers'!$D$29="Shrink + Dry",(('Decision Tool 6 Buyers'!$F$29*'Decision Tool 6 Buyers'!$E$20)+'Decision Tool 6 Buyers'!$H$29)*((F55*100)-('Decision Tool 6 Buyers'!$C$29*100)))))))</f>
        <v>9.2999999999999902E-2</v>
      </c>
      <c r="H55" s="157">
        <v>0.155</v>
      </c>
      <c r="I55" s="94">
        <f>IF('Decision Tool 6 Buyers'!$D$30="--Select--","",IF(H55&lt;'Decision Tool 6 Buyers'!$C$30,0,IF('Decision Tool 6 Buyers'!$D$30="$ per bushel",('Decision Tool 6 Buyers'!$F$30*((H55*100)-('Decision Tool 6 Buyers'!$C$30*100))),IF('Decision Tool 6 Buyers'!$D$30="% of weight/price",('Decision Tool 6 Buyers'!$F$30*'Decision Tool 6 Buyers'!$E$21)*((H55*100)-('Decision Tool 6 Buyers'!$C$30*100)),IF('Decision Tool 6 Buyers'!$D$30="Shrink + Dry",(('Decision Tool 6 Buyers'!$F$30*'Decision Tool 6 Buyers'!$E$21)+'Decision Tool 6 Buyers'!$H$30)*((H55*100)-('Decision Tool 6 Buyers'!$C$30*100)))))))</f>
        <v>3.1000000000000003E-2</v>
      </c>
      <c r="J55" s="157">
        <v>0.155</v>
      </c>
      <c r="K55" s="94">
        <f>IF('Decision Tool 6 Buyers'!$D$31="--Select--","",IF(J55&lt;'Decision Tool 6 Buyers'!$C$31,0,IF('Decision Tool 6 Buyers'!$D$31="$ per bushel",('Decision Tool 6 Buyers'!$F$31*((J55*100)-('Decision Tool 6 Buyers'!$C$31*100))),IF('Decision Tool 6 Buyers'!$D$31="% of weight/price",('Decision Tool 6 Buyers'!$F$31*'Decision Tool 6 Buyers'!$E$22)*((J55*100)-('Decision Tool 6 Buyers'!$C$31*100)),IF('Decision Tool 6 Buyers'!$D$31="Shrink + Dry",(('Decision Tool 6 Buyers'!$F$31*'Decision Tool 6 Buyers'!$E$22)+'Decision Tool 6 Buyers'!$H$31)*((J55*100)-('Decision Tool 6 Buyers'!$C$31*100)))))))</f>
        <v>1.5000000000000025E-2</v>
      </c>
      <c r="L55" s="157">
        <v>0.155</v>
      </c>
      <c r="M55" s="97">
        <f>IF('Decision Tool 6 Buyers'!$D$32="--Select--","",IF(L55&lt;'Decision Tool 6 Buyers'!$C$32,0,IF('Decision Tool 6 Buyers'!$D$32="$ per bushel",('Decision Tool 6 Buyers'!$F$32*((L55*100)-('Decision Tool 6 Buyers'!$C$32*100))),IF('Decision Tool 6 Buyers'!$D$32="% of weight/price",('Decision Tool 6 Buyers'!$F$32*'Decision Tool 6 Buyers'!$E$23)*((L55*100)-('Decision Tool 6 Buyers'!$C$32*100)),IF('Decision Tool 6 Buyers'!$D$32="Shrink + Dry",(('Decision Tool 6 Buyers'!$F$32*'Decision Tool 6 Buyers'!$E$23)+'Decision Tool 6 Buyers'!$H$32)*((L55*100)-('Decision Tool 6 Buyers'!$C$32*100)))))))</f>
        <v>1.2500000000000001E-2</v>
      </c>
    </row>
    <row r="56" spans="2:13" x14ac:dyDescent="0.25">
      <c r="B56" s="158">
        <v>0.16</v>
      </c>
      <c r="C56" s="93">
        <f>IF('Decision Tool 6 Buyers'!$D$27="--Select--","",IF(B56&lt;'Decision Tool 6 Buyers'!$C$27,0,IF('Decision Tool 6 Buyers'!$D$27="$ per bushel",('Decision Tool 6 Buyers'!$F$27*((B56*100)-('Decision Tool 6 Buyers'!$C$27*100))),IF('Decision Tool 6 Buyers'!$D$27="% of weight/price",('Decision Tool 6 Buyers'!$F$27*'Decision Tool 6 Buyers'!$E$18)*((B56*100)-('Decision Tool 6 Buyers'!$C$27*100)),IF('Decision Tool 6 Buyers'!$D$27="Shrink + Dry",(('Decision Tool 6 Buyers'!$F$27*'Decision Tool 6 Buyers'!$E$18)+'Decision Tool 6 Buyers'!$H$27)*((B56*100)-('Decision Tool 6 Buyers'!$C$27*100)))))))</f>
        <v>4.6700000000000005E-2</v>
      </c>
      <c r="D56" s="159">
        <v>0.16</v>
      </c>
      <c r="E56" s="93">
        <f>IF('Decision Tool 6 Buyers'!$D$28="--Select--","",IF(D56&lt;'Decision Tool 6 Buyers'!$C$28,0,IF('Decision Tool 6 Buyers'!$D$28="$ per bushel",('Decision Tool 6 Buyers'!$F$28*((D56*100)-('Decision Tool 6 Buyers'!$C$28*100))),IF('Decision Tool 6 Buyers'!$D$28="% of weight/price",('Decision Tool 6 Buyers'!$F$28*'Decision Tool 6 Buyers'!$E$19)*((D56*100)-('Decision Tool 6 Buyers'!$C$28*100)),IF('Decision Tool 6 Buyers'!$D$28="Shrink + Dry",(('Decision Tool 6 Buyers'!$F$28*'Decision Tool 6 Buyers'!$E$19)+'Decision Tool 6 Buyers'!$H$28)*((D56*100)-('Decision Tool 6 Buyers'!$C$28*100)))))))</f>
        <v>0.15000000000000019</v>
      </c>
      <c r="F56" s="159">
        <v>0.16</v>
      </c>
      <c r="G56" s="93">
        <f>IF('Decision Tool 6 Buyers'!$D$29="--Select--","",IF(F56&lt;'Decision Tool 6 Buyers'!$C$29,0,IF('Decision Tool 6 Buyers'!$D$29="$ per bushel",('Decision Tool 6 Buyers'!$F$29*((F56*100)-('Decision Tool 6 Buyers'!$C$29*100))),IF('Decision Tool 6 Buyers'!$D$29="% of weight/price",('Decision Tool 6 Buyers'!$F$29*'Decision Tool 6 Buyers'!$E$20)*((F56*100)-('Decision Tool 6 Buyers'!$C$29*100)),IF('Decision Tool 6 Buyers'!$D$29="Shrink + Dry",(('Decision Tool 6 Buyers'!$F$29*'Decision Tool 6 Buyers'!$E$20)+'Decision Tool 6 Buyers'!$H$29)*((F56*100)-('Decision Tool 6 Buyers'!$C$29*100)))))))</f>
        <v>0.1239999999999999</v>
      </c>
      <c r="H56" s="159">
        <v>0.16</v>
      </c>
      <c r="I56" s="93">
        <f>IF('Decision Tool 6 Buyers'!$D$30="--Select--","",IF(H56&lt;'Decision Tool 6 Buyers'!$C$30,0,IF('Decision Tool 6 Buyers'!$D$30="$ per bushel",('Decision Tool 6 Buyers'!$F$30*((H56*100)-('Decision Tool 6 Buyers'!$C$30*100))),IF('Decision Tool 6 Buyers'!$D$30="% of weight/price",('Decision Tool 6 Buyers'!$F$30*'Decision Tool 6 Buyers'!$E$21)*((H56*100)-('Decision Tool 6 Buyers'!$C$30*100)),IF('Decision Tool 6 Buyers'!$D$30="Shrink + Dry",(('Decision Tool 6 Buyers'!$F$30*'Decision Tool 6 Buyers'!$E$21)+'Decision Tool 6 Buyers'!$H$30)*((H56*100)-('Decision Tool 6 Buyers'!$C$30*100)))))))</f>
        <v>6.2000000000000006E-2</v>
      </c>
      <c r="J56" s="159">
        <v>0.16</v>
      </c>
      <c r="K56" s="93">
        <f>IF('Decision Tool 6 Buyers'!$D$31="--Select--","",IF(J56&lt;'Decision Tool 6 Buyers'!$C$31,0,IF('Decision Tool 6 Buyers'!$D$31="$ per bushel",('Decision Tool 6 Buyers'!$F$31*((J56*100)-('Decision Tool 6 Buyers'!$C$31*100))),IF('Decision Tool 6 Buyers'!$D$31="% of weight/price",('Decision Tool 6 Buyers'!$F$31*'Decision Tool 6 Buyers'!$E$22)*((J56*100)-('Decision Tool 6 Buyers'!$C$31*100)),IF('Decision Tool 6 Buyers'!$D$31="Shrink + Dry",(('Decision Tool 6 Buyers'!$F$31*'Decision Tool 6 Buyers'!$E$22)+'Decision Tool 6 Buyers'!$H$31)*((J56*100)-('Decision Tool 6 Buyers'!$C$31*100)))))))</f>
        <v>2.2500000000000027E-2</v>
      </c>
      <c r="L56" s="159">
        <v>0.16</v>
      </c>
      <c r="M56" s="96">
        <f>IF('Decision Tool 6 Buyers'!$D$32="--Select--","",IF(L56&lt;'Decision Tool 6 Buyers'!$C$32,0,IF('Decision Tool 6 Buyers'!$D$32="$ per bushel",('Decision Tool 6 Buyers'!$F$32*((L56*100)-('Decision Tool 6 Buyers'!$C$32*100))),IF('Decision Tool 6 Buyers'!$D$32="% of weight/price",('Decision Tool 6 Buyers'!$F$32*'Decision Tool 6 Buyers'!$E$23)*((L56*100)-('Decision Tool 6 Buyers'!$C$32*100)),IF('Decision Tool 6 Buyers'!$D$32="Shrink + Dry",(('Decision Tool 6 Buyers'!$F$32*'Decision Tool 6 Buyers'!$E$23)+'Decision Tool 6 Buyers'!$H$32)*((L56*100)-('Decision Tool 6 Buyers'!$C$32*100)))))))</f>
        <v>2.5000000000000001E-2</v>
      </c>
    </row>
    <row r="57" spans="2:13" x14ac:dyDescent="0.25">
      <c r="B57" s="156">
        <v>0.16500000000000001</v>
      </c>
      <c r="C57" s="94">
        <f>IF('Decision Tool 6 Buyers'!$D$27="--Select--","",IF(B57&lt;'Decision Tool 6 Buyers'!$C$27,0,IF('Decision Tool 6 Buyers'!$D$27="$ per bushel",('Decision Tool 6 Buyers'!$F$27*((B57*100)-('Decision Tool 6 Buyers'!$C$27*100))),IF('Decision Tool 6 Buyers'!$D$27="% of weight/price",('Decision Tool 6 Buyers'!$F$27*'Decision Tool 6 Buyers'!$E$18)*((B57*100)-('Decision Tool 6 Buyers'!$C$27*100)),IF('Decision Tool 6 Buyers'!$D$27="Shrink + Dry",(('Decision Tool 6 Buyers'!$F$27*'Decision Tool 6 Buyers'!$E$18)+'Decision Tool 6 Buyers'!$H$27)*((B57*100)-('Decision Tool 6 Buyers'!$C$27*100)))))))</f>
        <v>9.3400000000000011E-2</v>
      </c>
      <c r="D57" s="157">
        <v>0.16500000000000001</v>
      </c>
      <c r="E57" s="94">
        <f>IF('Decision Tool 6 Buyers'!$D$28="--Select--","",IF(D57&lt;'Decision Tool 6 Buyers'!$C$28,0,IF('Decision Tool 6 Buyers'!$D$28="$ per bushel",('Decision Tool 6 Buyers'!$F$28*((D57*100)-('Decision Tool 6 Buyers'!$C$28*100))),IF('Decision Tool 6 Buyers'!$D$28="% of weight/price",('Decision Tool 6 Buyers'!$F$28*'Decision Tool 6 Buyers'!$E$19)*((D57*100)-('Decision Tool 6 Buyers'!$C$28*100)),IF('Decision Tool 6 Buyers'!$D$28="Shrink + Dry",(('Decision Tool 6 Buyers'!$F$28*'Decision Tool 6 Buyers'!$E$19)+'Decision Tool 6 Buyers'!$H$28)*((D57*100)-('Decision Tool 6 Buyers'!$C$28*100)))))))</f>
        <v>0.20000000000000018</v>
      </c>
      <c r="F57" s="157">
        <v>0.16500000000000001</v>
      </c>
      <c r="G57" s="94">
        <f>IF('Decision Tool 6 Buyers'!$D$29="--Select--","",IF(F57&lt;'Decision Tool 6 Buyers'!$C$29,0,IF('Decision Tool 6 Buyers'!$D$29="$ per bushel",('Decision Tool 6 Buyers'!$F$29*((F57*100)-('Decision Tool 6 Buyers'!$C$29*100))),IF('Decision Tool 6 Buyers'!$D$29="% of weight/price",('Decision Tool 6 Buyers'!$F$29*'Decision Tool 6 Buyers'!$E$20)*((F57*100)-('Decision Tool 6 Buyers'!$C$29*100)),IF('Decision Tool 6 Buyers'!$D$29="Shrink + Dry",(('Decision Tool 6 Buyers'!$F$29*'Decision Tool 6 Buyers'!$E$20)+'Decision Tool 6 Buyers'!$H$29)*((F57*100)-('Decision Tool 6 Buyers'!$C$29*100)))))))</f>
        <v>0.15499999999999992</v>
      </c>
      <c r="H57" s="157">
        <v>0.16500000000000001</v>
      </c>
      <c r="I57" s="94">
        <f>IF('Decision Tool 6 Buyers'!$D$30="--Select--","",IF(H57&lt;'Decision Tool 6 Buyers'!$C$30,0,IF('Decision Tool 6 Buyers'!$D$30="$ per bushel",('Decision Tool 6 Buyers'!$F$30*((H57*100)-('Decision Tool 6 Buyers'!$C$30*100))),IF('Decision Tool 6 Buyers'!$D$30="% of weight/price",('Decision Tool 6 Buyers'!$F$30*'Decision Tool 6 Buyers'!$E$21)*((H57*100)-('Decision Tool 6 Buyers'!$C$30*100)),IF('Decision Tool 6 Buyers'!$D$30="Shrink + Dry",(('Decision Tool 6 Buyers'!$F$30*'Decision Tool 6 Buyers'!$E$21)+'Decision Tool 6 Buyers'!$H$30)*((H57*100)-('Decision Tool 6 Buyers'!$C$30*100)))))))</f>
        <v>9.3000000000000013E-2</v>
      </c>
      <c r="J57" s="157">
        <v>0.16500000000000001</v>
      </c>
      <c r="K57" s="94">
        <f>IF('Decision Tool 6 Buyers'!$D$31="--Select--","",IF(J57&lt;'Decision Tool 6 Buyers'!$C$31,0,IF('Decision Tool 6 Buyers'!$D$31="$ per bushel",('Decision Tool 6 Buyers'!$F$31*((J57*100)-('Decision Tool 6 Buyers'!$C$31*100))),IF('Decision Tool 6 Buyers'!$D$31="% of weight/price",('Decision Tool 6 Buyers'!$F$31*'Decision Tool 6 Buyers'!$E$22)*((J57*100)-('Decision Tool 6 Buyers'!$C$31*100)),IF('Decision Tool 6 Buyers'!$D$31="Shrink + Dry",(('Decision Tool 6 Buyers'!$F$31*'Decision Tool 6 Buyers'!$E$22)+'Decision Tool 6 Buyers'!$H$31)*((J57*100)-('Decision Tool 6 Buyers'!$C$31*100)))))))</f>
        <v>3.0000000000000027E-2</v>
      </c>
      <c r="L57" s="157">
        <v>0.16500000000000001</v>
      </c>
      <c r="M57" s="97">
        <f>IF('Decision Tool 6 Buyers'!$D$32="--Select--","",IF(L57&lt;'Decision Tool 6 Buyers'!$C$32,0,IF('Decision Tool 6 Buyers'!$D$32="$ per bushel",('Decision Tool 6 Buyers'!$F$32*((L57*100)-('Decision Tool 6 Buyers'!$C$32*100))),IF('Decision Tool 6 Buyers'!$D$32="% of weight/price",('Decision Tool 6 Buyers'!$F$32*'Decision Tool 6 Buyers'!$E$23)*((L57*100)-('Decision Tool 6 Buyers'!$C$32*100)),IF('Decision Tool 6 Buyers'!$D$32="Shrink + Dry",(('Decision Tool 6 Buyers'!$F$32*'Decision Tool 6 Buyers'!$E$23)+'Decision Tool 6 Buyers'!$H$32)*((L57*100)-('Decision Tool 6 Buyers'!$C$32*100)))))))</f>
        <v>3.7500000000000006E-2</v>
      </c>
    </row>
    <row r="58" spans="2:13" x14ac:dyDescent="0.25">
      <c r="B58" s="158">
        <v>0.17</v>
      </c>
      <c r="C58" s="93">
        <f>IF('Decision Tool 6 Buyers'!$D$27="--Select--","",IF(B58&lt;'Decision Tool 6 Buyers'!$C$27,0,IF('Decision Tool 6 Buyers'!$D$27="$ per bushel",('Decision Tool 6 Buyers'!$F$27*((B58*100)-('Decision Tool 6 Buyers'!$C$27*100))),IF('Decision Tool 6 Buyers'!$D$27="% of weight/price",('Decision Tool 6 Buyers'!$F$27*'Decision Tool 6 Buyers'!$E$18)*((B58*100)-('Decision Tool 6 Buyers'!$C$27*100)),IF('Decision Tool 6 Buyers'!$D$27="Shrink + Dry",(('Decision Tool 6 Buyers'!$F$27*'Decision Tool 6 Buyers'!$E$18)+'Decision Tool 6 Buyers'!$H$27)*((B58*100)-('Decision Tool 6 Buyers'!$C$27*100)))))))</f>
        <v>0.1401</v>
      </c>
      <c r="D58" s="159">
        <v>0.17</v>
      </c>
      <c r="E58" s="93">
        <f>IF('Decision Tool 6 Buyers'!$D$28="--Select--","",IF(D58&lt;'Decision Tool 6 Buyers'!$C$28,0,IF('Decision Tool 6 Buyers'!$D$28="$ per bushel",('Decision Tool 6 Buyers'!$F$28*((D58*100)-('Decision Tool 6 Buyers'!$C$28*100))),IF('Decision Tool 6 Buyers'!$D$28="% of weight/price",('Decision Tool 6 Buyers'!$F$28*'Decision Tool 6 Buyers'!$E$19)*((D58*100)-('Decision Tool 6 Buyers'!$C$28*100)),IF('Decision Tool 6 Buyers'!$D$28="Shrink + Dry",(('Decision Tool 6 Buyers'!$F$28*'Decision Tool 6 Buyers'!$E$19)+'Decision Tool 6 Buyers'!$H$28)*((D58*100)-('Decision Tool 6 Buyers'!$C$28*100)))))))</f>
        <v>0.25000000000000017</v>
      </c>
      <c r="F58" s="159">
        <v>0.17</v>
      </c>
      <c r="G58" s="93">
        <f>IF('Decision Tool 6 Buyers'!$D$29="--Select--","",IF(F58&lt;'Decision Tool 6 Buyers'!$C$29,0,IF('Decision Tool 6 Buyers'!$D$29="$ per bushel",('Decision Tool 6 Buyers'!$F$29*((F58*100)-('Decision Tool 6 Buyers'!$C$29*100))),IF('Decision Tool 6 Buyers'!$D$29="% of weight/price",('Decision Tool 6 Buyers'!$F$29*'Decision Tool 6 Buyers'!$E$20)*((F58*100)-('Decision Tool 6 Buyers'!$C$29*100)),IF('Decision Tool 6 Buyers'!$D$29="Shrink + Dry",(('Decision Tool 6 Buyers'!$F$29*'Decision Tool 6 Buyers'!$E$20)+'Decision Tool 6 Buyers'!$H$29)*((F58*100)-('Decision Tool 6 Buyers'!$C$29*100)))))))</f>
        <v>0.18599999999999992</v>
      </c>
      <c r="H58" s="159">
        <v>0.17</v>
      </c>
      <c r="I58" s="93">
        <f>IF('Decision Tool 6 Buyers'!$D$30="--Select--","",IF(H58&lt;'Decision Tool 6 Buyers'!$C$30,0,IF('Decision Tool 6 Buyers'!$D$30="$ per bushel",('Decision Tool 6 Buyers'!$F$30*((H58*100)-('Decision Tool 6 Buyers'!$C$30*100))),IF('Decision Tool 6 Buyers'!$D$30="% of weight/price",('Decision Tool 6 Buyers'!$F$30*'Decision Tool 6 Buyers'!$E$21)*((H58*100)-('Decision Tool 6 Buyers'!$C$30*100)),IF('Decision Tool 6 Buyers'!$D$30="Shrink + Dry",(('Decision Tool 6 Buyers'!$F$30*'Decision Tool 6 Buyers'!$E$21)+'Decision Tool 6 Buyers'!$H$30)*((H58*100)-('Decision Tool 6 Buyers'!$C$30*100)))))))</f>
        <v>0.12400000000000001</v>
      </c>
      <c r="J58" s="159">
        <v>0.17</v>
      </c>
      <c r="K58" s="93">
        <f>IF('Decision Tool 6 Buyers'!$D$31="--Select--","",IF(J58&lt;'Decision Tool 6 Buyers'!$C$31,0,IF('Decision Tool 6 Buyers'!$D$31="$ per bushel",('Decision Tool 6 Buyers'!$F$31*((J58*100)-('Decision Tool 6 Buyers'!$C$31*100))),IF('Decision Tool 6 Buyers'!$D$31="% of weight/price",('Decision Tool 6 Buyers'!$F$31*'Decision Tool 6 Buyers'!$E$22)*((J58*100)-('Decision Tool 6 Buyers'!$C$31*100)),IF('Decision Tool 6 Buyers'!$D$31="Shrink + Dry",(('Decision Tool 6 Buyers'!$F$31*'Decision Tool 6 Buyers'!$E$22)+'Decision Tool 6 Buyers'!$H$31)*((J58*100)-('Decision Tool 6 Buyers'!$C$31*100)))))))</f>
        <v>3.7500000000000026E-2</v>
      </c>
      <c r="L58" s="159">
        <v>0.17</v>
      </c>
      <c r="M58" s="96">
        <f>IF('Decision Tool 6 Buyers'!$D$32="--Select--","",IF(L58&lt;'Decision Tool 6 Buyers'!$C$32,0,IF('Decision Tool 6 Buyers'!$D$32="$ per bushel",('Decision Tool 6 Buyers'!$F$32*((L58*100)-('Decision Tool 6 Buyers'!$C$32*100))),IF('Decision Tool 6 Buyers'!$D$32="% of weight/price",('Decision Tool 6 Buyers'!$F$32*'Decision Tool 6 Buyers'!$E$23)*((L58*100)-('Decision Tool 6 Buyers'!$C$32*100)),IF('Decision Tool 6 Buyers'!$D$32="Shrink + Dry",(('Decision Tool 6 Buyers'!$F$32*'Decision Tool 6 Buyers'!$E$23)+'Decision Tool 6 Buyers'!$H$32)*((L58*100)-('Decision Tool 6 Buyers'!$C$32*100)))))))</f>
        <v>0.05</v>
      </c>
    </row>
    <row r="59" spans="2:13" x14ac:dyDescent="0.25">
      <c r="B59" s="156">
        <v>0.17499999999999999</v>
      </c>
      <c r="C59" s="94">
        <f>IF('Decision Tool 6 Buyers'!$D$27="--Select--","",IF(B59&lt;'Decision Tool 6 Buyers'!$C$27,0,IF('Decision Tool 6 Buyers'!$D$27="$ per bushel",('Decision Tool 6 Buyers'!$F$27*((B59*100)-('Decision Tool 6 Buyers'!$C$27*100))),IF('Decision Tool 6 Buyers'!$D$27="% of weight/price",('Decision Tool 6 Buyers'!$F$27*'Decision Tool 6 Buyers'!$E$18)*((B59*100)-('Decision Tool 6 Buyers'!$C$27*100)),IF('Decision Tool 6 Buyers'!$D$27="Shrink + Dry",(('Decision Tool 6 Buyers'!$F$27*'Decision Tool 6 Buyers'!$E$18)+'Decision Tool 6 Buyers'!$H$27)*((B59*100)-('Decision Tool 6 Buyers'!$C$27*100)))))))</f>
        <v>0.18680000000000002</v>
      </c>
      <c r="D59" s="157">
        <v>0.17499999999999999</v>
      </c>
      <c r="E59" s="94">
        <f>IF('Decision Tool 6 Buyers'!$D$28="--Select--","",IF(D59&lt;'Decision Tool 6 Buyers'!$C$28,0,IF('Decision Tool 6 Buyers'!$D$28="$ per bushel",('Decision Tool 6 Buyers'!$F$28*((D59*100)-('Decision Tool 6 Buyers'!$C$28*100))),IF('Decision Tool 6 Buyers'!$D$28="% of weight/price",('Decision Tool 6 Buyers'!$F$28*'Decision Tool 6 Buyers'!$E$19)*((D59*100)-('Decision Tool 6 Buyers'!$C$28*100)),IF('Decision Tool 6 Buyers'!$D$28="Shrink + Dry",(('Decision Tool 6 Buyers'!$F$28*'Decision Tool 6 Buyers'!$E$19)+'Decision Tool 6 Buyers'!$H$28)*((D59*100)-('Decision Tool 6 Buyers'!$C$28*100)))))))</f>
        <v>0.30000000000000021</v>
      </c>
      <c r="F59" s="157">
        <v>0.17499999999999999</v>
      </c>
      <c r="G59" s="94">
        <f>IF('Decision Tool 6 Buyers'!$D$29="--Select--","",IF(F59&lt;'Decision Tool 6 Buyers'!$C$29,0,IF('Decision Tool 6 Buyers'!$D$29="$ per bushel",('Decision Tool 6 Buyers'!$F$29*((F59*100)-('Decision Tool 6 Buyers'!$C$29*100))),IF('Decision Tool 6 Buyers'!$D$29="% of weight/price",('Decision Tool 6 Buyers'!$F$29*'Decision Tool 6 Buyers'!$E$20)*((F59*100)-('Decision Tool 6 Buyers'!$C$29*100)),IF('Decision Tool 6 Buyers'!$D$29="Shrink + Dry",(('Decision Tool 6 Buyers'!$F$29*'Decision Tool 6 Buyers'!$E$20)+'Decision Tool 6 Buyers'!$H$29)*((F59*100)-('Decision Tool 6 Buyers'!$C$29*100)))))))</f>
        <v>0.21699999999999992</v>
      </c>
      <c r="H59" s="157">
        <v>0.17499999999999999</v>
      </c>
      <c r="I59" s="94">
        <f>IF('Decision Tool 6 Buyers'!$D$30="--Select--","",IF(H59&lt;'Decision Tool 6 Buyers'!$C$30,0,IF('Decision Tool 6 Buyers'!$D$30="$ per bushel",('Decision Tool 6 Buyers'!$F$30*((H59*100)-('Decision Tool 6 Buyers'!$C$30*100))),IF('Decision Tool 6 Buyers'!$D$30="% of weight/price",('Decision Tool 6 Buyers'!$F$30*'Decision Tool 6 Buyers'!$E$21)*((H59*100)-('Decision Tool 6 Buyers'!$C$30*100)),IF('Decision Tool 6 Buyers'!$D$30="Shrink + Dry",(('Decision Tool 6 Buyers'!$F$30*'Decision Tool 6 Buyers'!$E$21)+'Decision Tool 6 Buyers'!$H$30)*((H59*100)-('Decision Tool 6 Buyers'!$C$30*100)))))))</f>
        <v>0.15500000000000003</v>
      </c>
      <c r="J59" s="157">
        <v>0.17499999999999999</v>
      </c>
      <c r="K59" s="94">
        <f>IF('Decision Tool 6 Buyers'!$D$31="--Select--","",IF(J59&lt;'Decision Tool 6 Buyers'!$C$31,0,IF('Decision Tool 6 Buyers'!$D$31="$ per bushel",('Decision Tool 6 Buyers'!$F$31*((J59*100)-('Decision Tool 6 Buyers'!$C$31*100))),IF('Decision Tool 6 Buyers'!$D$31="% of weight/price",('Decision Tool 6 Buyers'!$F$31*'Decision Tool 6 Buyers'!$E$22)*((J59*100)-('Decision Tool 6 Buyers'!$C$31*100)),IF('Decision Tool 6 Buyers'!$D$31="Shrink + Dry",(('Decision Tool 6 Buyers'!$F$31*'Decision Tool 6 Buyers'!$E$22)+'Decision Tool 6 Buyers'!$H$31)*((J59*100)-('Decision Tool 6 Buyers'!$C$31*100)))))))</f>
        <v>4.5000000000000026E-2</v>
      </c>
      <c r="L59" s="157">
        <v>0.17499999999999999</v>
      </c>
      <c r="M59" s="97">
        <f>IF('Decision Tool 6 Buyers'!$D$32="--Select--","",IF(L59&lt;'Decision Tool 6 Buyers'!$C$32,0,IF('Decision Tool 6 Buyers'!$D$32="$ per bushel",('Decision Tool 6 Buyers'!$F$32*((L59*100)-('Decision Tool 6 Buyers'!$C$32*100))),IF('Decision Tool 6 Buyers'!$D$32="% of weight/price",('Decision Tool 6 Buyers'!$F$32*'Decision Tool 6 Buyers'!$E$23)*((L59*100)-('Decision Tool 6 Buyers'!$C$32*100)),IF('Decision Tool 6 Buyers'!$D$32="Shrink + Dry",(('Decision Tool 6 Buyers'!$F$32*'Decision Tool 6 Buyers'!$E$23)+'Decision Tool 6 Buyers'!$H$32)*((L59*100)-('Decision Tool 6 Buyers'!$C$32*100)))))))</f>
        <v>6.25E-2</v>
      </c>
    </row>
    <row r="60" spans="2:13" x14ac:dyDescent="0.25">
      <c r="B60" s="158">
        <v>0.18</v>
      </c>
      <c r="C60" s="93">
        <f>IF('Decision Tool 6 Buyers'!$D$27="--Select--","",IF(B60&lt;'Decision Tool 6 Buyers'!$C$27,0,IF('Decision Tool 6 Buyers'!$D$27="$ per bushel",('Decision Tool 6 Buyers'!$F$27*((B60*100)-('Decision Tool 6 Buyers'!$C$27*100))),IF('Decision Tool 6 Buyers'!$D$27="% of weight/price",('Decision Tool 6 Buyers'!$F$27*'Decision Tool 6 Buyers'!$E$18)*((B60*100)-('Decision Tool 6 Buyers'!$C$27*100)),IF('Decision Tool 6 Buyers'!$D$27="Shrink + Dry",(('Decision Tool 6 Buyers'!$F$27*'Decision Tool 6 Buyers'!$E$18)+'Decision Tool 6 Buyers'!$H$27)*((B60*100)-('Decision Tool 6 Buyers'!$C$27*100)))))))</f>
        <v>0.23350000000000004</v>
      </c>
      <c r="D60" s="159">
        <v>0.18</v>
      </c>
      <c r="E60" s="93">
        <f>IF('Decision Tool 6 Buyers'!$D$28="--Select--","",IF(D60&lt;'Decision Tool 6 Buyers'!$C$28,0,IF('Decision Tool 6 Buyers'!$D$28="$ per bushel",('Decision Tool 6 Buyers'!$F$28*((D60*100)-('Decision Tool 6 Buyers'!$C$28*100))),IF('Decision Tool 6 Buyers'!$D$28="% of weight/price",('Decision Tool 6 Buyers'!$F$28*'Decision Tool 6 Buyers'!$E$19)*((D60*100)-('Decision Tool 6 Buyers'!$C$28*100)),IF('Decision Tool 6 Buyers'!$D$28="Shrink + Dry",(('Decision Tool 6 Buyers'!$F$28*'Decision Tool 6 Buyers'!$E$19)+'Decision Tool 6 Buyers'!$H$28)*((D60*100)-('Decision Tool 6 Buyers'!$C$28*100)))))))</f>
        <v>0.3500000000000002</v>
      </c>
      <c r="F60" s="159">
        <v>0.18</v>
      </c>
      <c r="G60" s="93">
        <f>IF('Decision Tool 6 Buyers'!$D$29="--Select--","",IF(F60&lt;'Decision Tool 6 Buyers'!$C$29,0,IF('Decision Tool 6 Buyers'!$D$29="$ per bushel",('Decision Tool 6 Buyers'!$F$29*((F60*100)-('Decision Tool 6 Buyers'!$C$29*100))),IF('Decision Tool 6 Buyers'!$D$29="% of weight/price",('Decision Tool 6 Buyers'!$F$29*'Decision Tool 6 Buyers'!$E$20)*((F60*100)-('Decision Tool 6 Buyers'!$C$29*100)),IF('Decision Tool 6 Buyers'!$D$29="Shrink + Dry",(('Decision Tool 6 Buyers'!$F$29*'Decision Tool 6 Buyers'!$E$20)+'Decision Tool 6 Buyers'!$H$29)*((F60*100)-('Decision Tool 6 Buyers'!$C$29*100)))))))</f>
        <v>0.24799999999999991</v>
      </c>
      <c r="H60" s="159">
        <v>0.18</v>
      </c>
      <c r="I60" s="93">
        <f>IF('Decision Tool 6 Buyers'!$D$30="--Select--","",IF(H60&lt;'Decision Tool 6 Buyers'!$C$30,0,IF('Decision Tool 6 Buyers'!$D$30="$ per bushel",('Decision Tool 6 Buyers'!$F$30*((H60*100)-('Decision Tool 6 Buyers'!$C$30*100))),IF('Decision Tool 6 Buyers'!$D$30="% of weight/price",('Decision Tool 6 Buyers'!$F$30*'Decision Tool 6 Buyers'!$E$21)*((H60*100)-('Decision Tool 6 Buyers'!$C$30*100)),IF('Decision Tool 6 Buyers'!$D$30="Shrink + Dry",(('Decision Tool 6 Buyers'!$F$30*'Decision Tool 6 Buyers'!$E$21)+'Decision Tool 6 Buyers'!$H$30)*((H60*100)-('Decision Tool 6 Buyers'!$C$30*100)))))))</f>
        <v>0.18600000000000003</v>
      </c>
      <c r="J60" s="159">
        <v>0.18</v>
      </c>
      <c r="K60" s="93">
        <f>IF('Decision Tool 6 Buyers'!$D$31="--Select--","",IF(J60&lt;'Decision Tool 6 Buyers'!$C$31,0,IF('Decision Tool 6 Buyers'!$D$31="$ per bushel",('Decision Tool 6 Buyers'!$F$31*((J60*100)-('Decision Tool 6 Buyers'!$C$31*100))),IF('Decision Tool 6 Buyers'!$D$31="% of weight/price",('Decision Tool 6 Buyers'!$F$31*'Decision Tool 6 Buyers'!$E$22)*((J60*100)-('Decision Tool 6 Buyers'!$C$31*100)),IF('Decision Tool 6 Buyers'!$D$31="Shrink + Dry",(('Decision Tool 6 Buyers'!$F$31*'Decision Tool 6 Buyers'!$E$22)+'Decision Tool 6 Buyers'!$H$31)*((J60*100)-('Decision Tool 6 Buyers'!$C$31*100)))))))</f>
        <v>5.2500000000000026E-2</v>
      </c>
      <c r="L60" s="159">
        <v>0.18</v>
      </c>
      <c r="M60" s="96">
        <f>IF('Decision Tool 6 Buyers'!$D$32="--Select--","",IF(L60&lt;'Decision Tool 6 Buyers'!$C$32,0,IF('Decision Tool 6 Buyers'!$D$32="$ per bushel",('Decision Tool 6 Buyers'!$F$32*((L60*100)-('Decision Tool 6 Buyers'!$C$32*100))),IF('Decision Tool 6 Buyers'!$D$32="% of weight/price",('Decision Tool 6 Buyers'!$F$32*'Decision Tool 6 Buyers'!$E$23)*((L60*100)-('Decision Tool 6 Buyers'!$C$32*100)),IF('Decision Tool 6 Buyers'!$D$32="Shrink + Dry",(('Decision Tool 6 Buyers'!$F$32*'Decision Tool 6 Buyers'!$E$23)+'Decision Tool 6 Buyers'!$H$32)*((L60*100)-('Decision Tool 6 Buyers'!$C$32*100)))))))</f>
        <v>7.5000000000000011E-2</v>
      </c>
    </row>
    <row r="61" spans="2:13" x14ac:dyDescent="0.25">
      <c r="B61" s="156">
        <v>0.185</v>
      </c>
      <c r="C61" s="94">
        <f>IF('Decision Tool 6 Buyers'!$D$27="--Select--","",IF(B61&lt;'Decision Tool 6 Buyers'!$C$27,0,IF('Decision Tool 6 Buyers'!$D$27="$ per bushel",('Decision Tool 6 Buyers'!$F$27*((B61*100)-('Decision Tool 6 Buyers'!$C$27*100))),IF('Decision Tool 6 Buyers'!$D$27="% of weight/price",('Decision Tool 6 Buyers'!$F$27*'Decision Tool 6 Buyers'!$E$18)*((B61*100)-('Decision Tool 6 Buyers'!$C$27*100)),IF('Decision Tool 6 Buyers'!$D$27="Shrink + Dry",(('Decision Tool 6 Buyers'!$F$27*'Decision Tool 6 Buyers'!$E$18)+'Decision Tool 6 Buyers'!$H$27)*((B61*100)-('Decision Tool 6 Buyers'!$C$27*100)))))))</f>
        <v>0.2802</v>
      </c>
      <c r="D61" s="157">
        <v>0.185</v>
      </c>
      <c r="E61" s="94">
        <f>IF('Decision Tool 6 Buyers'!$D$28="--Select--","",IF(D61&lt;'Decision Tool 6 Buyers'!$C$28,0,IF('Decision Tool 6 Buyers'!$D$28="$ per bushel",('Decision Tool 6 Buyers'!$F$28*((D61*100)-('Decision Tool 6 Buyers'!$C$28*100))),IF('Decision Tool 6 Buyers'!$D$28="% of weight/price",('Decision Tool 6 Buyers'!$F$28*'Decision Tool 6 Buyers'!$E$19)*((D61*100)-('Decision Tool 6 Buyers'!$C$28*100)),IF('Decision Tool 6 Buyers'!$D$28="Shrink + Dry",(('Decision Tool 6 Buyers'!$F$28*'Decision Tool 6 Buyers'!$E$19)+'Decision Tool 6 Buyers'!$H$28)*((D61*100)-('Decision Tool 6 Buyers'!$C$28*100)))))))</f>
        <v>0.40000000000000019</v>
      </c>
      <c r="F61" s="157">
        <v>0.185</v>
      </c>
      <c r="G61" s="94">
        <f>IF('Decision Tool 6 Buyers'!$D$29="--Select--","",IF(F61&lt;'Decision Tool 6 Buyers'!$C$29,0,IF('Decision Tool 6 Buyers'!$D$29="$ per bushel",('Decision Tool 6 Buyers'!$F$29*((F61*100)-('Decision Tool 6 Buyers'!$C$29*100))),IF('Decision Tool 6 Buyers'!$D$29="% of weight/price",('Decision Tool 6 Buyers'!$F$29*'Decision Tool 6 Buyers'!$E$20)*((F61*100)-('Decision Tool 6 Buyers'!$C$29*100)),IF('Decision Tool 6 Buyers'!$D$29="Shrink + Dry",(('Decision Tool 6 Buyers'!$F$29*'Decision Tool 6 Buyers'!$E$20)+'Decision Tool 6 Buyers'!$H$29)*((F61*100)-('Decision Tool 6 Buyers'!$C$29*100)))))))</f>
        <v>0.27899999999999991</v>
      </c>
      <c r="H61" s="157">
        <v>0.185</v>
      </c>
      <c r="I61" s="94">
        <f>IF('Decision Tool 6 Buyers'!$D$30="--Select--","",IF(H61&lt;'Decision Tool 6 Buyers'!$C$30,0,IF('Decision Tool 6 Buyers'!$D$30="$ per bushel",('Decision Tool 6 Buyers'!$F$30*((H61*100)-('Decision Tool 6 Buyers'!$C$30*100))),IF('Decision Tool 6 Buyers'!$D$30="% of weight/price",('Decision Tool 6 Buyers'!$F$30*'Decision Tool 6 Buyers'!$E$21)*((H61*100)-('Decision Tool 6 Buyers'!$C$30*100)),IF('Decision Tool 6 Buyers'!$D$30="Shrink + Dry",(('Decision Tool 6 Buyers'!$F$30*'Decision Tool 6 Buyers'!$E$21)+'Decision Tool 6 Buyers'!$H$30)*((H61*100)-('Decision Tool 6 Buyers'!$C$30*100)))))))</f>
        <v>0.21700000000000003</v>
      </c>
      <c r="J61" s="157">
        <v>0.185</v>
      </c>
      <c r="K61" s="94">
        <f>IF('Decision Tool 6 Buyers'!$D$31="--Select--","",IF(J61&lt;'Decision Tool 6 Buyers'!$C$31,0,IF('Decision Tool 6 Buyers'!$D$31="$ per bushel",('Decision Tool 6 Buyers'!$F$31*((J61*100)-('Decision Tool 6 Buyers'!$C$31*100))),IF('Decision Tool 6 Buyers'!$D$31="% of weight/price",('Decision Tool 6 Buyers'!$F$31*'Decision Tool 6 Buyers'!$E$22)*((J61*100)-('Decision Tool 6 Buyers'!$C$31*100)),IF('Decision Tool 6 Buyers'!$D$31="Shrink + Dry",(('Decision Tool 6 Buyers'!$F$31*'Decision Tool 6 Buyers'!$E$22)+'Decision Tool 6 Buyers'!$H$31)*((J61*100)-('Decision Tool 6 Buyers'!$C$31*100)))))))</f>
        <v>6.0000000000000026E-2</v>
      </c>
      <c r="L61" s="157">
        <v>0.185</v>
      </c>
      <c r="M61" s="97">
        <f>IF('Decision Tool 6 Buyers'!$D$32="--Select--","",IF(L61&lt;'Decision Tool 6 Buyers'!$C$32,0,IF('Decision Tool 6 Buyers'!$D$32="$ per bushel",('Decision Tool 6 Buyers'!$F$32*((L61*100)-('Decision Tool 6 Buyers'!$C$32*100))),IF('Decision Tool 6 Buyers'!$D$32="% of weight/price",('Decision Tool 6 Buyers'!$F$32*'Decision Tool 6 Buyers'!$E$23)*((L61*100)-('Decision Tool 6 Buyers'!$C$32*100)),IF('Decision Tool 6 Buyers'!$D$32="Shrink + Dry",(('Decision Tool 6 Buyers'!$F$32*'Decision Tool 6 Buyers'!$E$23)+'Decision Tool 6 Buyers'!$H$32)*((L61*100)-('Decision Tool 6 Buyers'!$C$32*100)))))))</f>
        <v>8.7500000000000008E-2</v>
      </c>
    </row>
    <row r="62" spans="2:13" x14ac:dyDescent="0.25">
      <c r="B62" s="158">
        <v>0.19</v>
      </c>
      <c r="C62" s="93">
        <f>IF('Decision Tool 6 Buyers'!$D$27="--Select--","",IF(B62&lt;'Decision Tool 6 Buyers'!$C$27,0,IF('Decision Tool 6 Buyers'!$D$27="$ per bushel",('Decision Tool 6 Buyers'!$F$27*((B62*100)-('Decision Tool 6 Buyers'!$C$27*100))),IF('Decision Tool 6 Buyers'!$D$27="% of weight/price",('Decision Tool 6 Buyers'!$F$27*'Decision Tool 6 Buyers'!$E$18)*((B62*100)-('Decision Tool 6 Buyers'!$C$27*100)),IF('Decision Tool 6 Buyers'!$D$27="Shrink + Dry",(('Decision Tool 6 Buyers'!$F$27*'Decision Tool 6 Buyers'!$E$18)+'Decision Tool 6 Buyers'!$H$27)*((B62*100)-('Decision Tool 6 Buyers'!$C$27*100)))))))</f>
        <v>0.32690000000000002</v>
      </c>
      <c r="D62" s="159">
        <v>0.19</v>
      </c>
      <c r="E62" s="93">
        <f>IF('Decision Tool 6 Buyers'!$D$28="--Select--","",IF(D62&lt;'Decision Tool 6 Buyers'!$C$28,0,IF('Decision Tool 6 Buyers'!$D$28="$ per bushel",('Decision Tool 6 Buyers'!$F$28*((D62*100)-('Decision Tool 6 Buyers'!$C$28*100))),IF('Decision Tool 6 Buyers'!$D$28="% of weight/price",('Decision Tool 6 Buyers'!$F$28*'Decision Tool 6 Buyers'!$E$19)*((D62*100)-('Decision Tool 6 Buyers'!$C$28*100)),IF('Decision Tool 6 Buyers'!$D$28="Shrink + Dry",(('Decision Tool 6 Buyers'!$F$28*'Decision Tool 6 Buyers'!$E$19)+'Decision Tool 6 Buyers'!$H$28)*((D62*100)-('Decision Tool 6 Buyers'!$C$28*100)))))))</f>
        <v>0.45000000000000018</v>
      </c>
      <c r="F62" s="159">
        <v>0.19</v>
      </c>
      <c r="G62" s="93">
        <f>IF('Decision Tool 6 Buyers'!$D$29="--Select--","",IF(F62&lt;'Decision Tool 6 Buyers'!$C$29,0,IF('Decision Tool 6 Buyers'!$D$29="$ per bushel",('Decision Tool 6 Buyers'!$F$29*((F62*100)-('Decision Tool 6 Buyers'!$C$29*100))),IF('Decision Tool 6 Buyers'!$D$29="% of weight/price",('Decision Tool 6 Buyers'!$F$29*'Decision Tool 6 Buyers'!$E$20)*((F62*100)-('Decision Tool 6 Buyers'!$C$29*100)),IF('Decision Tool 6 Buyers'!$D$29="Shrink + Dry",(('Decision Tool 6 Buyers'!$F$29*'Decision Tool 6 Buyers'!$E$20)+'Decision Tool 6 Buyers'!$H$29)*((F62*100)-('Decision Tool 6 Buyers'!$C$29*100)))))))</f>
        <v>0.30999999999999994</v>
      </c>
      <c r="H62" s="159">
        <v>0.19</v>
      </c>
      <c r="I62" s="93">
        <f>IF('Decision Tool 6 Buyers'!$D$30="--Select--","",IF(H62&lt;'Decision Tool 6 Buyers'!$C$30,0,IF('Decision Tool 6 Buyers'!$D$30="$ per bushel",('Decision Tool 6 Buyers'!$F$30*((H62*100)-('Decision Tool 6 Buyers'!$C$30*100))),IF('Decision Tool 6 Buyers'!$D$30="% of weight/price",('Decision Tool 6 Buyers'!$F$30*'Decision Tool 6 Buyers'!$E$21)*((H62*100)-('Decision Tool 6 Buyers'!$C$30*100)),IF('Decision Tool 6 Buyers'!$D$30="Shrink + Dry",(('Decision Tool 6 Buyers'!$F$30*'Decision Tool 6 Buyers'!$E$21)+'Decision Tool 6 Buyers'!$H$30)*((H62*100)-('Decision Tool 6 Buyers'!$C$30*100)))))))</f>
        <v>0.24800000000000003</v>
      </c>
      <c r="J62" s="159">
        <v>0.19</v>
      </c>
      <c r="K62" s="93">
        <f>IF('Decision Tool 6 Buyers'!$D$31="--Select--","",IF(J62&lt;'Decision Tool 6 Buyers'!$C$31,0,IF('Decision Tool 6 Buyers'!$D$31="$ per bushel",('Decision Tool 6 Buyers'!$F$31*((J62*100)-('Decision Tool 6 Buyers'!$C$31*100))),IF('Decision Tool 6 Buyers'!$D$31="% of weight/price",('Decision Tool 6 Buyers'!$F$31*'Decision Tool 6 Buyers'!$E$22)*((J62*100)-('Decision Tool 6 Buyers'!$C$31*100)),IF('Decision Tool 6 Buyers'!$D$31="Shrink + Dry",(('Decision Tool 6 Buyers'!$F$31*'Decision Tool 6 Buyers'!$E$22)+'Decision Tool 6 Buyers'!$H$31)*((J62*100)-('Decision Tool 6 Buyers'!$C$31*100)))))))</f>
        <v>6.7500000000000018E-2</v>
      </c>
      <c r="L62" s="159">
        <v>0.19</v>
      </c>
      <c r="M62" s="96">
        <f>IF('Decision Tool 6 Buyers'!$D$32="--Select--","",IF(L62&lt;'Decision Tool 6 Buyers'!$C$32,0,IF('Decision Tool 6 Buyers'!$D$32="$ per bushel",('Decision Tool 6 Buyers'!$F$32*((L62*100)-('Decision Tool 6 Buyers'!$C$32*100))),IF('Decision Tool 6 Buyers'!$D$32="% of weight/price",('Decision Tool 6 Buyers'!$F$32*'Decision Tool 6 Buyers'!$E$23)*((L62*100)-('Decision Tool 6 Buyers'!$C$32*100)),IF('Decision Tool 6 Buyers'!$D$32="Shrink + Dry",(('Decision Tool 6 Buyers'!$F$32*'Decision Tool 6 Buyers'!$E$23)+'Decision Tool 6 Buyers'!$H$32)*((L62*100)-('Decision Tool 6 Buyers'!$C$32*100)))))))</f>
        <v>0.1</v>
      </c>
    </row>
    <row r="63" spans="2:13" x14ac:dyDescent="0.25">
      <c r="B63" s="156">
        <v>0.19500000000000001</v>
      </c>
      <c r="C63" s="94">
        <f>IF('Decision Tool 6 Buyers'!$D$27="--Select--","",IF(B63&lt;'Decision Tool 6 Buyers'!$C$27,0,IF('Decision Tool 6 Buyers'!$D$27="$ per bushel",('Decision Tool 6 Buyers'!$F$27*((B63*100)-('Decision Tool 6 Buyers'!$C$27*100))),IF('Decision Tool 6 Buyers'!$D$27="% of weight/price",('Decision Tool 6 Buyers'!$F$27*'Decision Tool 6 Buyers'!$E$18)*((B63*100)-('Decision Tool 6 Buyers'!$C$27*100)),IF('Decision Tool 6 Buyers'!$D$27="Shrink + Dry",(('Decision Tool 6 Buyers'!$F$27*'Decision Tool 6 Buyers'!$E$18)+'Decision Tool 6 Buyers'!$H$27)*((B63*100)-('Decision Tool 6 Buyers'!$C$27*100)))))))</f>
        <v>0.37360000000000004</v>
      </c>
      <c r="D63" s="157">
        <v>0.19500000000000001</v>
      </c>
      <c r="E63" s="94">
        <f>IF('Decision Tool 6 Buyers'!$D$28="--Select--","",IF(D63&lt;'Decision Tool 6 Buyers'!$C$28,0,IF('Decision Tool 6 Buyers'!$D$28="$ per bushel",('Decision Tool 6 Buyers'!$F$28*((D63*100)-('Decision Tool 6 Buyers'!$C$28*100))),IF('Decision Tool 6 Buyers'!$D$28="% of weight/price",('Decision Tool 6 Buyers'!$F$28*'Decision Tool 6 Buyers'!$E$19)*((D63*100)-('Decision Tool 6 Buyers'!$C$28*100)),IF('Decision Tool 6 Buyers'!$D$28="Shrink + Dry",(('Decision Tool 6 Buyers'!$F$28*'Decision Tool 6 Buyers'!$E$19)+'Decision Tool 6 Buyers'!$H$28)*((D63*100)-('Decision Tool 6 Buyers'!$C$28*100)))))))</f>
        <v>0.50000000000000022</v>
      </c>
      <c r="F63" s="157">
        <v>0.19500000000000001</v>
      </c>
      <c r="G63" s="94">
        <f>IF('Decision Tool 6 Buyers'!$D$29="--Select--","",IF(F63&lt;'Decision Tool 6 Buyers'!$C$29,0,IF('Decision Tool 6 Buyers'!$D$29="$ per bushel",('Decision Tool 6 Buyers'!$F$29*((F63*100)-('Decision Tool 6 Buyers'!$C$29*100))),IF('Decision Tool 6 Buyers'!$D$29="% of weight/price",('Decision Tool 6 Buyers'!$F$29*'Decision Tool 6 Buyers'!$E$20)*((F63*100)-('Decision Tool 6 Buyers'!$C$29*100)),IF('Decision Tool 6 Buyers'!$D$29="Shrink + Dry",(('Decision Tool 6 Buyers'!$F$29*'Decision Tool 6 Buyers'!$E$20)+'Decision Tool 6 Buyers'!$H$29)*((F63*100)-('Decision Tool 6 Buyers'!$C$29*100)))))))</f>
        <v>0.34099999999999991</v>
      </c>
      <c r="H63" s="157">
        <v>0.19500000000000001</v>
      </c>
      <c r="I63" s="94">
        <f>IF('Decision Tool 6 Buyers'!$D$30="--Select--","",IF(H63&lt;'Decision Tool 6 Buyers'!$C$30,0,IF('Decision Tool 6 Buyers'!$D$30="$ per bushel",('Decision Tool 6 Buyers'!$F$30*((H63*100)-('Decision Tool 6 Buyers'!$C$30*100))),IF('Decision Tool 6 Buyers'!$D$30="% of weight/price",('Decision Tool 6 Buyers'!$F$30*'Decision Tool 6 Buyers'!$E$21)*((H63*100)-('Decision Tool 6 Buyers'!$C$30*100)),IF('Decision Tool 6 Buyers'!$D$30="Shrink + Dry",(('Decision Tool 6 Buyers'!$F$30*'Decision Tool 6 Buyers'!$E$21)+'Decision Tool 6 Buyers'!$H$30)*((H63*100)-('Decision Tool 6 Buyers'!$C$30*100)))))))</f>
        <v>0.27900000000000003</v>
      </c>
      <c r="J63" s="157">
        <v>0.19500000000000001</v>
      </c>
      <c r="K63" s="94">
        <f>IF('Decision Tool 6 Buyers'!$D$31="--Select--","",IF(J63&lt;'Decision Tool 6 Buyers'!$C$31,0,IF('Decision Tool 6 Buyers'!$D$31="$ per bushel",('Decision Tool 6 Buyers'!$F$31*((J63*100)-('Decision Tool 6 Buyers'!$C$31*100))),IF('Decision Tool 6 Buyers'!$D$31="% of weight/price",('Decision Tool 6 Buyers'!$F$31*'Decision Tool 6 Buyers'!$E$22)*((J63*100)-('Decision Tool 6 Buyers'!$C$31*100)),IF('Decision Tool 6 Buyers'!$D$31="Shrink + Dry",(('Decision Tool 6 Buyers'!$F$31*'Decision Tool 6 Buyers'!$E$22)+'Decision Tool 6 Buyers'!$H$31)*((J63*100)-('Decision Tool 6 Buyers'!$C$31*100)))))))</f>
        <v>7.5000000000000025E-2</v>
      </c>
      <c r="L63" s="157">
        <v>0.19500000000000001</v>
      </c>
      <c r="M63" s="97">
        <f>IF('Decision Tool 6 Buyers'!$D$32="--Select--","",IF(L63&lt;'Decision Tool 6 Buyers'!$C$32,0,IF('Decision Tool 6 Buyers'!$D$32="$ per bushel",('Decision Tool 6 Buyers'!$F$32*((L63*100)-('Decision Tool 6 Buyers'!$C$32*100))),IF('Decision Tool 6 Buyers'!$D$32="% of weight/price",('Decision Tool 6 Buyers'!$F$32*'Decision Tool 6 Buyers'!$E$23)*((L63*100)-('Decision Tool 6 Buyers'!$C$32*100)),IF('Decision Tool 6 Buyers'!$D$32="Shrink + Dry",(('Decision Tool 6 Buyers'!$F$32*'Decision Tool 6 Buyers'!$E$23)+'Decision Tool 6 Buyers'!$H$32)*((L63*100)-('Decision Tool 6 Buyers'!$C$32*100)))))))</f>
        <v>0.1125</v>
      </c>
    </row>
    <row r="64" spans="2:13" x14ac:dyDescent="0.25">
      <c r="B64" s="158">
        <v>0.2</v>
      </c>
      <c r="C64" s="93">
        <f>IF('Decision Tool 6 Buyers'!$D$27="--Select--","",IF(B64&lt;'Decision Tool 6 Buyers'!$C$27,0,IF('Decision Tool 6 Buyers'!$D$27="$ per bushel",('Decision Tool 6 Buyers'!$F$27*((B64*100)-('Decision Tool 6 Buyers'!$C$27*100))),IF('Decision Tool 6 Buyers'!$D$27="% of weight/price",('Decision Tool 6 Buyers'!$F$27*'Decision Tool 6 Buyers'!$E$18)*((B64*100)-('Decision Tool 6 Buyers'!$C$27*100)),IF('Decision Tool 6 Buyers'!$D$27="Shrink + Dry",(('Decision Tool 6 Buyers'!$F$27*'Decision Tool 6 Buyers'!$E$18)+'Decision Tool 6 Buyers'!$H$27)*((B64*100)-('Decision Tool 6 Buyers'!$C$27*100)))))))</f>
        <v>0.42030000000000006</v>
      </c>
      <c r="D64" s="159">
        <v>0.2</v>
      </c>
      <c r="E64" s="93">
        <f>IF('Decision Tool 6 Buyers'!$D$28="--Select--","",IF(D64&lt;'Decision Tool 6 Buyers'!$C$28,0,IF('Decision Tool 6 Buyers'!$D$28="$ per bushel",('Decision Tool 6 Buyers'!$F$28*((D64*100)-('Decision Tool 6 Buyers'!$C$28*100))),IF('Decision Tool 6 Buyers'!$D$28="% of weight/price",('Decision Tool 6 Buyers'!$F$28*'Decision Tool 6 Buyers'!$E$19)*((D64*100)-('Decision Tool 6 Buyers'!$C$28*100)),IF('Decision Tool 6 Buyers'!$D$28="Shrink + Dry",(('Decision Tool 6 Buyers'!$F$28*'Decision Tool 6 Buyers'!$E$19)+'Decision Tool 6 Buyers'!$H$28)*((D64*100)-('Decision Tool 6 Buyers'!$C$28*100)))))))</f>
        <v>0.55000000000000016</v>
      </c>
      <c r="F64" s="159">
        <v>0.2</v>
      </c>
      <c r="G64" s="93">
        <f>IF('Decision Tool 6 Buyers'!$D$29="--Select--","",IF(F64&lt;'Decision Tool 6 Buyers'!$C$29,0,IF('Decision Tool 6 Buyers'!$D$29="$ per bushel",('Decision Tool 6 Buyers'!$F$29*((F64*100)-('Decision Tool 6 Buyers'!$C$29*100))),IF('Decision Tool 6 Buyers'!$D$29="% of weight/price",('Decision Tool 6 Buyers'!$F$29*'Decision Tool 6 Buyers'!$E$20)*((F64*100)-('Decision Tool 6 Buyers'!$C$29*100)),IF('Decision Tool 6 Buyers'!$D$29="Shrink + Dry",(('Decision Tool 6 Buyers'!$F$29*'Decision Tool 6 Buyers'!$E$20)+'Decision Tool 6 Buyers'!$H$29)*((F64*100)-('Decision Tool 6 Buyers'!$C$29*100)))))))</f>
        <v>0.37199999999999994</v>
      </c>
      <c r="H64" s="159">
        <v>0.2</v>
      </c>
      <c r="I64" s="93">
        <f>IF('Decision Tool 6 Buyers'!$D$30="--Select--","",IF(H64&lt;'Decision Tool 6 Buyers'!$C$30,0,IF('Decision Tool 6 Buyers'!$D$30="$ per bushel",('Decision Tool 6 Buyers'!$F$30*((H64*100)-('Decision Tool 6 Buyers'!$C$30*100))),IF('Decision Tool 6 Buyers'!$D$30="% of weight/price",('Decision Tool 6 Buyers'!$F$30*'Decision Tool 6 Buyers'!$E$21)*((H64*100)-('Decision Tool 6 Buyers'!$C$30*100)),IF('Decision Tool 6 Buyers'!$D$30="Shrink + Dry",(('Decision Tool 6 Buyers'!$F$30*'Decision Tool 6 Buyers'!$E$21)+'Decision Tool 6 Buyers'!$H$30)*((H64*100)-('Decision Tool 6 Buyers'!$C$30*100)))))))</f>
        <v>0.31000000000000005</v>
      </c>
      <c r="J64" s="159">
        <v>0.2</v>
      </c>
      <c r="K64" s="93">
        <f>IF('Decision Tool 6 Buyers'!$D$31="--Select--","",IF(J64&lt;'Decision Tool 6 Buyers'!$C$31,0,IF('Decision Tool 6 Buyers'!$D$31="$ per bushel",('Decision Tool 6 Buyers'!$F$31*((J64*100)-('Decision Tool 6 Buyers'!$C$31*100))),IF('Decision Tool 6 Buyers'!$D$31="% of weight/price",('Decision Tool 6 Buyers'!$F$31*'Decision Tool 6 Buyers'!$E$22)*((J64*100)-('Decision Tool 6 Buyers'!$C$31*100)),IF('Decision Tool 6 Buyers'!$D$31="Shrink + Dry",(('Decision Tool 6 Buyers'!$F$31*'Decision Tool 6 Buyers'!$E$22)+'Decision Tool 6 Buyers'!$H$31)*((J64*100)-('Decision Tool 6 Buyers'!$C$31*100)))))))</f>
        <v>8.2500000000000018E-2</v>
      </c>
      <c r="L64" s="159">
        <v>0.2</v>
      </c>
      <c r="M64" s="96">
        <f>IF('Decision Tool 6 Buyers'!$D$32="--Select--","",IF(L64&lt;'Decision Tool 6 Buyers'!$C$32,0,IF('Decision Tool 6 Buyers'!$D$32="$ per bushel",('Decision Tool 6 Buyers'!$F$32*((L64*100)-('Decision Tool 6 Buyers'!$C$32*100))),IF('Decision Tool 6 Buyers'!$D$32="% of weight/price",('Decision Tool 6 Buyers'!$F$32*'Decision Tool 6 Buyers'!$E$23)*((L64*100)-('Decision Tool 6 Buyers'!$C$32*100)),IF('Decision Tool 6 Buyers'!$D$32="Shrink + Dry",(('Decision Tool 6 Buyers'!$F$32*'Decision Tool 6 Buyers'!$E$23)+'Decision Tool 6 Buyers'!$H$32)*((L64*100)-('Decision Tool 6 Buyers'!$C$32*100)))))))</f>
        <v>0.125</v>
      </c>
    </row>
    <row r="65" spans="2:13" x14ac:dyDescent="0.25">
      <c r="B65" s="156">
        <v>0.20499999999999999</v>
      </c>
      <c r="C65" s="94">
        <f>IF('Decision Tool 6 Buyers'!$D$27="--Select--","",IF(B65&lt;'Decision Tool 6 Buyers'!$C$27,0,IF('Decision Tool 6 Buyers'!$D$27="$ per bushel",('Decision Tool 6 Buyers'!$F$27*((B65*100)-('Decision Tool 6 Buyers'!$C$27*100))),IF('Decision Tool 6 Buyers'!$D$27="% of weight/price",('Decision Tool 6 Buyers'!$F$27*'Decision Tool 6 Buyers'!$E$18)*((B65*100)-('Decision Tool 6 Buyers'!$C$27*100)),IF('Decision Tool 6 Buyers'!$D$27="Shrink + Dry",(('Decision Tool 6 Buyers'!$F$27*'Decision Tool 6 Buyers'!$E$18)+'Decision Tool 6 Buyers'!$H$27)*((B65*100)-('Decision Tool 6 Buyers'!$C$27*100)))))))</f>
        <v>0.46700000000000008</v>
      </c>
      <c r="D65" s="157">
        <v>0.20499999999999999</v>
      </c>
      <c r="E65" s="94">
        <f>IF('Decision Tool 6 Buyers'!$D$28="--Select--","",IF(D65&lt;'Decision Tool 6 Buyers'!$C$28,0,IF('Decision Tool 6 Buyers'!$D$28="$ per bushel",('Decision Tool 6 Buyers'!$F$28*((D65*100)-('Decision Tool 6 Buyers'!$C$28*100))),IF('Decision Tool 6 Buyers'!$D$28="% of weight/price",('Decision Tool 6 Buyers'!$F$28*'Decision Tool 6 Buyers'!$E$19)*((D65*100)-('Decision Tool 6 Buyers'!$C$28*100)),IF('Decision Tool 6 Buyers'!$D$28="Shrink + Dry",(('Decision Tool 6 Buyers'!$F$28*'Decision Tool 6 Buyers'!$E$19)+'Decision Tool 6 Buyers'!$H$28)*((D65*100)-('Decision Tool 6 Buyers'!$C$28*100)))))))</f>
        <v>0.6000000000000002</v>
      </c>
      <c r="F65" s="157">
        <v>0.20499999999999999</v>
      </c>
      <c r="G65" s="94">
        <f>IF('Decision Tool 6 Buyers'!$D$29="--Select--","",IF(F65&lt;'Decision Tool 6 Buyers'!$C$29,0,IF('Decision Tool 6 Buyers'!$D$29="$ per bushel",('Decision Tool 6 Buyers'!$F$29*((F65*100)-('Decision Tool 6 Buyers'!$C$29*100))),IF('Decision Tool 6 Buyers'!$D$29="% of weight/price",('Decision Tool 6 Buyers'!$F$29*'Decision Tool 6 Buyers'!$E$20)*((F65*100)-('Decision Tool 6 Buyers'!$C$29*100)),IF('Decision Tool 6 Buyers'!$D$29="Shrink + Dry",(('Decision Tool 6 Buyers'!$F$29*'Decision Tool 6 Buyers'!$E$20)+'Decision Tool 6 Buyers'!$H$29)*((F65*100)-('Decision Tool 6 Buyers'!$C$29*100)))))))</f>
        <v>0.40299999999999991</v>
      </c>
      <c r="H65" s="157">
        <v>0.20499999999999999</v>
      </c>
      <c r="I65" s="94">
        <f>IF('Decision Tool 6 Buyers'!$D$30="--Select--","",IF(H65&lt;'Decision Tool 6 Buyers'!$C$30,0,IF('Decision Tool 6 Buyers'!$D$30="$ per bushel",('Decision Tool 6 Buyers'!$F$30*((H65*100)-('Decision Tool 6 Buyers'!$C$30*100))),IF('Decision Tool 6 Buyers'!$D$30="% of weight/price",('Decision Tool 6 Buyers'!$F$30*'Decision Tool 6 Buyers'!$E$21)*((H65*100)-('Decision Tool 6 Buyers'!$C$30*100)),IF('Decision Tool 6 Buyers'!$D$30="Shrink + Dry",(('Decision Tool 6 Buyers'!$F$30*'Decision Tool 6 Buyers'!$E$21)+'Decision Tool 6 Buyers'!$H$30)*((H65*100)-('Decision Tool 6 Buyers'!$C$30*100)))))))</f>
        <v>0.34100000000000003</v>
      </c>
      <c r="J65" s="157">
        <v>0.20499999999999999</v>
      </c>
      <c r="K65" s="94">
        <f>IF('Decision Tool 6 Buyers'!$D$31="--Select--","",IF(J65&lt;'Decision Tool 6 Buyers'!$C$31,0,IF('Decision Tool 6 Buyers'!$D$31="$ per bushel",('Decision Tool 6 Buyers'!$F$31*((J65*100)-('Decision Tool 6 Buyers'!$C$31*100))),IF('Decision Tool 6 Buyers'!$D$31="% of weight/price",('Decision Tool 6 Buyers'!$F$31*'Decision Tool 6 Buyers'!$E$22)*((J65*100)-('Decision Tool 6 Buyers'!$C$31*100)),IF('Decision Tool 6 Buyers'!$D$31="Shrink + Dry",(('Decision Tool 6 Buyers'!$F$31*'Decision Tool 6 Buyers'!$E$22)+'Decision Tool 6 Buyers'!$H$31)*((J65*100)-('Decision Tool 6 Buyers'!$C$31*100)))))))</f>
        <v>9.0000000000000024E-2</v>
      </c>
      <c r="L65" s="157">
        <v>0.20499999999999999</v>
      </c>
      <c r="M65" s="97">
        <f>IF('Decision Tool 6 Buyers'!$D$32="--Select--","",IF(L65&lt;'Decision Tool 6 Buyers'!$C$32,0,IF('Decision Tool 6 Buyers'!$D$32="$ per bushel",('Decision Tool 6 Buyers'!$F$32*((L65*100)-('Decision Tool 6 Buyers'!$C$32*100))),IF('Decision Tool 6 Buyers'!$D$32="% of weight/price",('Decision Tool 6 Buyers'!$F$32*'Decision Tool 6 Buyers'!$E$23)*((L65*100)-('Decision Tool 6 Buyers'!$C$32*100)),IF('Decision Tool 6 Buyers'!$D$32="Shrink + Dry",(('Decision Tool 6 Buyers'!$F$32*'Decision Tool 6 Buyers'!$E$23)+'Decision Tool 6 Buyers'!$H$32)*((L65*100)-('Decision Tool 6 Buyers'!$C$32*100)))))))</f>
        <v>0.13750000000000001</v>
      </c>
    </row>
    <row r="66" spans="2:13" x14ac:dyDescent="0.25">
      <c r="B66" s="158">
        <v>0.21</v>
      </c>
      <c r="C66" s="93">
        <f>IF('Decision Tool 6 Buyers'!$D$27="--Select--","",IF(B66&lt;'Decision Tool 6 Buyers'!$C$27,0,IF('Decision Tool 6 Buyers'!$D$27="$ per bushel",('Decision Tool 6 Buyers'!$F$27*((B66*100)-('Decision Tool 6 Buyers'!$C$27*100))),IF('Decision Tool 6 Buyers'!$D$27="% of weight/price",('Decision Tool 6 Buyers'!$F$27*'Decision Tool 6 Buyers'!$E$18)*((B66*100)-('Decision Tool 6 Buyers'!$C$27*100)),IF('Decision Tool 6 Buyers'!$D$27="Shrink + Dry",(('Decision Tool 6 Buyers'!$F$27*'Decision Tool 6 Buyers'!$E$18)+'Decision Tool 6 Buyers'!$H$27)*((B66*100)-('Decision Tool 6 Buyers'!$C$27*100)))))))</f>
        <v>0.51370000000000005</v>
      </c>
      <c r="D66" s="159">
        <v>0.21</v>
      </c>
      <c r="E66" s="93">
        <f>IF('Decision Tool 6 Buyers'!$D$28="--Select--","",IF(D66&lt;'Decision Tool 6 Buyers'!$C$28,0,IF('Decision Tool 6 Buyers'!$D$28="$ per bushel",('Decision Tool 6 Buyers'!$F$28*((D66*100)-('Decision Tool 6 Buyers'!$C$28*100))),IF('Decision Tool 6 Buyers'!$D$28="% of weight/price",('Decision Tool 6 Buyers'!$F$28*'Decision Tool 6 Buyers'!$E$19)*((D66*100)-('Decision Tool 6 Buyers'!$C$28*100)),IF('Decision Tool 6 Buyers'!$D$28="Shrink + Dry",(('Decision Tool 6 Buyers'!$F$28*'Decision Tool 6 Buyers'!$E$19)+'Decision Tool 6 Buyers'!$H$28)*((D66*100)-('Decision Tool 6 Buyers'!$C$28*100)))))))</f>
        <v>0.65000000000000024</v>
      </c>
      <c r="F66" s="159">
        <v>0.21</v>
      </c>
      <c r="G66" s="93">
        <f>IF('Decision Tool 6 Buyers'!$D$29="--Select--","",IF(F66&lt;'Decision Tool 6 Buyers'!$C$29,0,IF('Decision Tool 6 Buyers'!$D$29="$ per bushel",('Decision Tool 6 Buyers'!$F$29*((F66*100)-('Decision Tool 6 Buyers'!$C$29*100))),IF('Decision Tool 6 Buyers'!$D$29="% of weight/price",('Decision Tool 6 Buyers'!$F$29*'Decision Tool 6 Buyers'!$E$20)*((F66*100)-('Decision Tool 6 Buyers'!$C$29*100)),IF('Decision Tool 6 Buyers'!$D$29="Shrink + Dry",(('Decision Tool 6 Buyers'!$F$29*'Decision Tool 6 Buyers'!$E$20)+'Decision Tool 6 Buyers'!$H$29)*((F66*100)-('Decision Tool 6 Buyers'!$C$29*100)))))))</f>
        <v>0.43399999999999994</v>
      </c>
      <c r="H66" s="159">
        <v>0.21</v>
      </c>
      <c r="I66" s="93">
        <f>IF('Decision Tool 6 Buyers'!$D$30="--Select--","",IF(H66&lt;'Decision Tool 6 Buyers'!$C$30,0,IF('Decision Tool 6 Buyers'!$D$30="$ per bushel",('Decision Tool 6 Buyers'!$F$30*((H66*100)-('Decision Tool 6 Buyers'!$C$30*100))),IF('Decision Tool 6 Buyers'!$D$30="% of weight/price",('Decision Tool 6 Buyers'!$F$30*'Decision Tool 6 Buyers'!$E$21)*((H66*100)-('Decision Tool 6 Buyers'!$C$30*100)),IF('Decision Tool 6 Buyers'!$D$30="Shrink + Dry",(('Decision Tool 6 Buyers'!$F$30*'Decision Tool 6 Buyers'!$E$21)+'Decision Tool 6 Buyers'!$H$30)*((H66*100)-('Decision Tool 6 Buyers'!$C$30*100)))))))</f>
        <v>0.37200000000000005</v>
      </c>
      <c r="J66" s="159">
        <v>0.21</v>
      </c>
      <c r="K66" s="93">
        <f>IF('Decision Tool 6 Buyers'!$D$31="--Select--","",IF(J66&lt;'Decision Tool 6 Buyers'!$C$31,0,IF('Decision Tool 6 Buyers'!$D$31="$ per bushel",('Decision Tool 6 Buyers'!$F$31*((J66*100)-('Decision Tool 6 Buyers'!$C$31*100))),IF('Decision Tool 6 Buyers'!$D$31="% of weight/price",('Decision Tool 6 Buyers'!$F$31*'Decision Tool 6 Buyers'!$E$22)*((J66*100)-('Decision Tool 6 Buyers'!$C$31*100)),IF('Decision Tool 6 Buyers'!$D$31="Shrink + Dry",(('Decision Tool 6 Buyers'!$F$31*'Decision Tool 6 Buyers'!$E$22)+'Decision Tool 6 Buyers'!$H$31)*((J66*100)-('Decision Tool 6 Buyers'!$C$31*100)))))))</f>
        <v>9.7500000000000017E-2</v>
      </c>
      <c r="L66" s="159">
        <v>0.21</v>
      </c>
      <c r="M66" s="96">
        <f>IF('Decision Tool 6 Buyers'!$D$32="--Select--","",IF(L66&lt;'Decision Tool 6 Buyers'!$C$32,0,IF('Decision Tool 6 Buyers'!$D$32="$ per bushel",('Decision Tool 6 Buyers'!$F$32*((L66*100)-('Decision Tool 6 Buyers'!$C$32*100))),IF('Decision Tool 6 Buyers'!$D$32="% of weight/price",('Decision Tool 6 Buyers'!$F$32*'Decision Tool 6 Buyers'!$E$23)*((L66*100)-('Decision Tool 6 Buyers'!$C$32*100)),IF('Decision Tool 6 Buyers'!$D$32="Shrink + Dry",(('Decision Tool 6 Buyers'!$F$32*'Decision Tool 6 Buyers'!$E$23)+'Decision Tool 6 Buyers'!$H$32)*((L66*100)-('Decision Tool 6 Buyers'!$C$32*100)))))))</f>
        <v>0.15000000000000002</v>
      </c>
    </row>
    <row r="67" spans="2:13" x14ac:dyDescent="0.25">
      <c r="B67" s="156">
        <v>0.215</v>
      </c>
      <c r="C67" s="94">
        <f>IF('Decision Tool 6 Buyers'!$D$27="--Select--","",IF(B67&lt;'Decision Tool 6 Buyers'!$C$27,0,IF('Decision Tool 6 Buyers'!$D$27="$ per bushel",('Decision Tool 6 Buyers'!$F$27*((B67*100)-('Decision Tool 6 Buyers'!$C$27*100))),IF('Decision Tool 6 Buyers'!$D$27="% of weight/price",('Decision Tool 6 Buyers'!$F$27*'Decision Tool 6 Buyers'!$E$18)*((B67*100)-('Decision Tool 6 Buyers'!$C$27*100)),IF('Decision Tool 6 Buyers'!$D$27="Shrink + Dry",(('Decision Tool 6 Buyers'!$F$27*'Decision Tool 6 Buyers'!$E$18)+'Decision Tool 6 Buyers'!$H$27)*((B67*100)-('Decision Tool 6 Buyers'!$C$27*100)))))))</f>
        <v>0.56040000000000001</v>
      </c>
      <c r="D67" s="157">
        <v>0.215</v>
      </c>
      <c r="E67" s="94">
        <f>IF('Decision Tool 6 Buyers'!$D$28="--Select--","",IF(D67&lt;'Decision Tool 6 Buyers'!$C$28,0,IF('Decision Tool 6 Buyers'!$D$28="$ per bushel",('Decision Tool 6 Buyers'!$F$28*((D67*100)-('Decision Tool 6 Buyers'!$C$28*100))),IF('Decision Tool 6 Buyers'!$D$28="% of weight/price",('Decision Tool 6 Buyers'!$F$28*'Decision Tool 6 Buyers'!$E$19)*((D67*100)-('Decision Tool 6 Buyers'!$C$28*100)),IF('Decision Tool 6 Buyers'!$D$28="Shrink + Dry",(('Decision Tool 6 Buyers'!$F$28*'Decision Tool 6 Buyers'!$E$19)+'Decision Tool 6 Buyers'!$H$28)*((D67*100)-('Decision Tool 6 Buyers'!$C$28*100)))))))</f>
        <v>0.70000000000000018</v>
      </c>
      <c r="F67" s="157">
        <v>0.215</v>
      </c>
      <c r="G67" s="94">
        <f>IF('Decision Tool 6 Buyers'!$D$29="--Select--","",IF(F67&lt;'Decision Tool 6 Buyers'!$C$29,0,IF('Decision Tool 6 Buyers'!$D$29="$ per bushel",('Decision Tool 6 Buyers'!$F$29*((F67*100)-('Decision Tool 6 Buyers'!$C$29*100))),IF('Decision Tool 6 Buyers'!$D$29="% of weight/price",('Decision Tool 6 Buyers'!$F$29*'Decision Tool 6 Buyers'!$E$20)*((F67*100)-('Decision Tool 6 Buyers'!$C$29*100)),IF('Decision Tool 6 Buyers'!$D$29="Shrink + Dry",(('Decision Tool 6 Buyers'!$F$29*'Decision Tool 6 Buyers'!$E$20)+'Decision Tool 6 Buyers'!$H$29)*((F67*100)-('Decision Tool 6 Buyers'!$C$29*100)))))))</f>
        <v>0.46499999999999991</v>
      </c>
      <c r="H67" s="157">
        <v>0.215</v>
      </c>
      <c r="I67" s="94">
        <f>IF('Decision Tool 6 Buyers'!$D$30="--Select--","",IF(H67&lt;'Decision Tool 6 Buyers'!$C$30,0,IF('Decision Tool 6 Buyers'!$D$30="$ per bushel",('Decision Tool 6 Buyers'!$F$30*((H67*100)-('Decision Tool 6 Buyers'!$C$30*100))),IF('Decision Tool 6 Buyers'!$D$30="% of weight/price",('Decision Tool 6 Buyers'!$F$30*'Decision Tool 6 Buyers'!$E$21)*((H67*100)-('Decision Tool 6 Buyers'!$C$30*100)),IF('Decision Tool 6 Buyers'!$D$30="Shrink + Dry",(('Decision Tool 6 Buyers'!$F$30*'Decision Tool 6 Buyers'!$E$21)+'Decision Tool 6 Buyers'!$H$30)*((H67*100)-('Decision Tool 6 Buyers'!$C$30*100)))))))</f>
        <v>0.40300000000000002</v>
      </c>
      <c r="J67" s="157">
        <v>0.215</v>
      </c>
      <c r="K67" s="94">
        <f>IF('Decision Tool 6 Buyers'!$D$31="--Select--","",IF(J67&lt;'Decision Tool 6 Buyers'!$C$31,0,IF('Decision Tool 6 Buyers'!$D$31="$ per bushel",('Decision Tool 6 Buyers'!$F$31*((J67*100)-('Decision Tool 6 Buyers'!$C$31*100))),IF('Decision Tool 6 Buyers'!$D$31="% of weight/price",('Decision Tool 6 Buyers'!$F$31*'Decision Tool 6 Buyers'!$E$22)*((J67*100)-('Decision Tool 6 Buyers'!$C$31*100)),IF('Decision Tool 6 Buyers'!$D$31="Shrink + Dry",(('Decision Tool 6 Buyers'!$F$31*'Decision Tool 6 Buyers'!$E$22)+'Decision Tool 6 Buyers'!$H$31)*((J67*100)-('Decision Tool 6 Buyers'!$C$31*100)))))))</f>
        <v>0.10500000000000002</v>
      </c>
      <c r="L67" s="157">
        <v>0.215</v>
      </c>
      <c r="M67" s="97">
        <f>IF('Decision Tool 6 Buyers'!$D$32="--Select--","",IF(L67&lt;'Decision Tool 6 Buyers'!$C$32,0,IF('Decision Tool 6 Buyers'!$D$32="$ per bushel",('Decision Tool 6 Buyers'!$F$32*((L67*100)-('Decision Tool 6 Buyers'!$C$32*100))),IF('Decision Tool 6 Buyers'!$D$32="% of weight/price",('Decision Tool 6 Buyers'!$F$32*'Decision Tool 6 Buyers'!$E$23)*((L67*100)-('Decision Tool 6 Buyers'!$C$32*100)),IF('Decision Tool 6 Buyers'!$D$32="Shrink + Dry",(('Decision Tool 6 Buyers'!$F$32*'Decision Tool 6 Buyers'!$E$23)+'Decision Tool 6 Buyers'!$H$32)*((L67*100)-('Decision Tool 6 Buyers'!$C$32*100)))))))</f>
        <v>0.16250000000000001</v>
      </c>
    </row>
    <row r="68" spans="2:13" x14ac:dyDescent="0.25">
      <c r="B68" s="158">
        <v>0.22</v>
      </c>
      <c r="C68" s="93">
        <f>IF('Decision Tool 6 Buyers'!$D$27="--Select--","",IF(B68&lt;'Decision Tool 6 Buyers'!$C$27,0,IF('Decision Tool 6 Buyers'!$D$27="$ per bushel",('Decision Tool 6 Buyers'!$F$27*((B68*100)-('Decision Tool 6 Buyers'!$C$27*100))),IF('Decision Tool 6 Buyers'!$D$27="% of weight/price",('Decision Tool 6 Buyers'!$F$27*'Decision Tool 6 Buyers'!$E$18)*((B68*100)-('Decision Tool 6 Buyers'!$C$27*100)),IF('Decision Tool 6 Buyers'!$D$27="Shrink + Dry",(('Decision Tool 6 Buyers'!$F$27*'Decision Tool 6 Buyers'!$E$18)+'Decision Tool 6 Buyers'!$H$27)*((B68*100)-('Decision Tool 6 Buyers'!$C$27*100)))))))</f>
        <v>0.60710000000000008</v>
      </c>
      <c r="D68" s="159">
        <v>0.22</v>
      </c>
      <c r="E68" s="93">
        <f>IF('Decision Tool 6 Buyers'!$D$28="--Select--","",IF(D68&lt;'Decision Tool 6 Buyers'!$C$28,0,IF('Decision Tool 6 Buyers'!$D$28="$ per bushel",('Decision Tool 6 Buyers'!$F$28*((D68*100)-('Decision Tool 6 Buyers'!$C$28*100))),IF('Decision Tool 6 Buyers'!$D$28="% of weight/price",('Decision Tool 6 Buyers'!$F$28*'Decision Tool 6 Buyers'!$E$19)*((D68*100)-('Decision Tool 6 Buyers'!$C$28*100)),IF('Decision Tool 6 Buyers'!$D$28="Shrink + Dry",(('Decision Tool 6 Buyers'!$F$28*'Decision Tool 6 Buyers'!$E$19)+'Decision Tool 6 Buyers'!$H$28)*((D68*100)-('Decision Tool 6 Buyers'!$C$28*100)))))))</f>
        <v>0.75000000000000022</v>
      </c>
      <c r="F68" s="159">
        <v>0.22</v>
      </c>
      <c r="G68" s="93">
        <f>IF('Decision Tool 6 Buyers'!$D$29="--Select--","",IF(F68&lt;'Decision Tool 6 Buyers'!$C$29,0,IF('Decision Tool 6 Buyers'!$D$29="$ per bushel",('Decision Tool 6 Buyers'!$F$29*((F68*100)-('Decision Tool 6 Buyers'!$C$29*100))),IF('Decision Tool 6 Buyers'!$D$29="% of weight/price",('Decision Tool 6 Buyers'!$F$29*'Decision Tool 6 Buyers'!$E$20)*((F68*100)-('Decision Tool 6 Buyers'!$C$29*100)),IF('Decision Tool 6 Buyers'!$D$29="Shrink + Dry",(('Decision Tool 6 Buyers'!$F$29*'Decision Tool 6 Buyers'!$E$20)+'Decision Tool 6 Buyers'!$H$29)*((F68*100)-('Decision Tool 6 Buyers'!$C$29*100)))))))</f>
        <v>0.49599999999999994</v>
      </c>
      <c r="H68" s="159">
        <v>0.22</v>
      </c>
      <c r="I68" s="93">
        <f>IF('Decision Tool 6 Buyers'!$D$30="--Select--","",IF(H68&lt;'Decision Tool 6 Buyers'!$C$30,0,IF('Decision Tool 6 Buyers'!$D$30="$ per bushel",('Decision Tool 6 Buyers'!$F$30*((H68*100)-('Decision Tool 6 Buyers'!$C$30*100))),IF('Decision Tool 6 Buyers'!$D$30="% of weight/price",('Decision Tool 6 Buyers'!$F$30*'Decision Tool 6 Buyers'!$E$21)*((H68*100)-('Decision Tool 6 Buyers'!$C$30*100)),IF('Decision Tool 6 Buyers'!$D$30="Shrink + Dry",(('Decision Tool 6 Buyers'!$F$30*'Decision Tool 6 Buyers'!$E$21)+'Decision Tool 6 Buyers'!$H$30)*((H68*100)-('Decision Tool 6 Buyers'!$C$30*100)))))))</f>
        <v>0.43400000000000005</v>
      </c>
      <c r="J68" s="159">
        <v>0.22</v>
      </c>
      <c r="K68" s="93">
        <f>IF('Decision Tool 6 Buyers'!$D$31="--Select--","",IF(J68&lt;'Decision Tool 6 Buyers'!$C$31,0,IF('Decision Tool 6 Buyers'!$D$31="$ per bushel",('Decision Tool 6 Buyers'!$F$31*((J68*100)-('Decision Tool 6 Buyers'!$C$31*100))),IF('Decision Tool 6 Buyers'!$D$31="% of weight/price",('Decision Tool 6 Buyers'!$F$31*'Decision Tool 6 Buyers'!$E$22)*((J68*100)-('Decision Tool 6 Buyers'!$C$31*100)),IF('Decision Tool 6 Buyers'!$D$31="Shrink + Dry",(('Decision Tool 6 Buyers'!$F$31*'Decision Tool 6 Buyers'!$E$22)+'Decision Tool 6 Buyers'!$H$31)*((J68*100)-('Decision Tool 6 Buyers'!$C$31*100)))))))</f>
        <v>0.11250000000000002</v>
      </c>
      <c r="L68" s="159">
        <v>0.22</v>
      </c>
      <c r="M68" s="96">
        <f>IF('Decision Tool 6 Buyers'!$D$32="--Select--","",IF(L68&lt;'Decision Tool 6 Buyers'!$C$32,0,IF('Decision Tool 6 Buyers'!$D$32="$ per bushel",('Decision Tool 6 Buyers'!$F$32*((L68*100)-('Decision Tool 6 Buyers'!$C$32*100))),IF('Decision Tool 6 Buyers'!$D$32="% of weight/price",('Decision Tool 6 Buyers'!$F$32*'Decision Tool 6 Buyers'!$E$23)*((L68*100)-('Decision Tool 6 Buyers'!$C$32*100)),IF('Decision Tool 6 Buyers'!$D$32="Shrink + Dry",(('Decision Tool 6 Buyers'!$F$32*'Decision Tool 6 Buyers'!$E$23)+'Decision Tool 6 Buyers'!$H$32)*((L68*100)-('Decision Tool 6 Buyers'!$C$32*100)))))))</f>
        <v>0.17500000000000002</v>
      </c>
    </row>
    <row r="69" spans="2:13" x14ac:dyDescent="0.25">
      <c r="B69" s="156">
        <v>0.22500000000000001</v>
      </c>
      <c r="C69" s="94">
        <f>IF('Decision Tool 6 Buyers'!$D$27="--Select--","",IF(B69&lt;'Decision Tool 6 Buyers'!$C$27,0,IF('Decision Tool 6 Buyers'!$D$27="$ per bushel",('Decision Tool 6 Buyers'!$F$27*((B69*100)-('Decision Tool 6 Buyers'!$C$27*100))),IF('Decision Tool 6 Buyers'!$D$27="% of weight/price",('Decision Tool 6 Buyers'!$F$27*'Decision Tool 6 Buyers'!$E$18)*((B69*100)-('Decision Tool 6 Buyers'!$C$27*100)),IF('Decision Tool 6 Buyers'!$D$27="Shrink + Dry",(('Decision Tool 6 Buyers'!$F$27*'Decision Tool 6 Buyers'!$E$18)+'Decision Tool 6 Buyers'!$H$27)*((B69*100)-('Decision Tool 6 Buyers'!$C$27*100)))))))</f>
        <v>0.65380000000000005</v>
      </c>
      <c r="D69" s="157">
        <v>0.22500000000000001</v>
      </c>
      <c r="E69" s="94">
        <f>IF('Decision Tool 6 Buyers'!$D$28="--Select--","",IF(D69&lt;'Decision Tool 6 Buyers'!$C$28,0,IF('Decision Tool 6 Buyers'!$D$28="$ per bushel",('Decision Tool 6 Buyers'!$F$28*((D69*100)-('Decision Tool 6 Buyers'!$C$28*100))),IF('Decision Tool 6 Buyers'!$D$28="% of weight/price",('Decision Tool 6 Buyers'!$F$28*'Decision Tool 6 Buyers'!$E$19)*((D69*100)-('Decision Tool 6 Buyers'!$C$28*100)),IF('Decision Tool 6 Buyers'!$D$28="Shrink + Dry",(('Decision Tool 6 Buyers'!$F$28*'Decision Tool 6 Buyers'!$E$19)+'Decision Tool 6 Buyers'!$H$28)*((D69*100)-('Decision Tool 6 Buyers'!$C$28*100)))))))</f>
        <v>0.80000000000000027</v>
      </c>
      <c r="F69" s="157">
        <v>0.22500000000000001</v>
      </c>
      <c r="G69" s="94">
        <f>IF('Decision Tool 6 Buyers'!$D$29="--Select--","",IF(F69&lt;'Decision Tool 6 Buyers'!$C$29,0,IF('Decision Tool 6 Buyers'!$D$29="$ per bushel",('Decision Tool 6 Buyers'!$F$29*((F69*100)-('Decision Tool 6 Buyers'!$C$29*100))),IF('Decision Tool 6 Buyers'!$D$29="% of weight/price",('Decision Tool 6 Buyers'!$F$29*'Decision Tool 6 Buyers'!$E$20)*((F69*100)-('Decision Tool 6 Buyers'!$C$29*100)),IF('Decision Tool 6 Buyers'!$D$29="Shrink + Dry",(('Decision Tool 6 Buyers'!$F$29*'Decision Tool 6 Buyers'!$E$20)+'Decision Tool 6 Buyers'!$H$29)*((F69*100)-('Decision Tool 6 Buyers'!$C$29*100)))))))</f>
        <v>0.52699999999999991</v>
      </c>
      <c r="H69" s="157">
        <v>0.22500000000000001</v>
      </c>
      <c r="I69" s="94">
        <f>IF('Decision Tool 6 Buyers'!$D$30="--Select--","",IF(H69&lt;'Decision Tool 6 Buyers'!$C$30,0,IF('Decision Tool 6 Buyers'!$D$30="$ per bushel",('Decision Tool 6 Buyers'!$F$30*((H69*100)-('Decision Tool 6 Buyers'!$C$30*100))),IF('Decision Tool 6 Buyers'!$D$30="% of weight/price",('Decision Tool 6 Buyers'!$F$30*'Decision Tool 6 Buyers'!$E$21)*((H69*100)-('Decision Tool 6 Buyers'!$C$30*100)),IF('Decision Tool 6 Buyers'!$D$30="Shrink + Dry",(('Decision Tool 6 Buyers'!$F$30*'Decision Tool 6 Buyers'!$E$21)+'Decision Tool 6 Buyers'!$H$30)*((H69*100)-('Decision Tool 6 Buyers'!$C$30*100)))))))</f>
        <v>0.46500000000000002</v>
      </c>
      <c r="J69" s="157">
        <v>0.22500000000000001</v>
      </c>
      <c r="K69" s="94">
        <f>IF('Decision Tool 6 Buyers'!$D$31="--Select--","",IF(J69&lt;'Decision Tool 6 Buyers'!$C$31,0,IF('Decision Tool 6 Buyers'!$D$31="$ per bushel",('Decision Tool 6 Buyers'!$F$31*((J69*100)-('Decision Tool 6 Buyers'!$C$31*100))),IF('Decision Tool 6 Buyers'!$D$31="% of weight/price",('Decision Tool 6 Buyers'!$F$31*'Decision Tool 6 Buyers'!$E$22)*((J69*100)-('Decision Tool 6 Buyers'!$C$31*100)),IF('Decision Tool 6 Buyers'!$D$31="Shrink + Dry",(('Decision Tool 6 Buyers'!$F$31*'Decision Tool 6 Buyers'!$E$22)+'Decision Tool 6 Buyers'!$H$31)*((J69*100)-('Decision Tool 6 Buyers'!$C$31*100)))))))</f>
        <v>0.12000000000000002</v>
      </c>
      <c r="L69" s="157">
        <v>0.22500000000000001</v>
      </c>
      <c r="M69" s="97">
        <f>IF('Decision Tool 6 Buyers'!$D$32="--Select--","",IF(L69&lt;'Decision Tool 6 Buyers'!$C$32,0,IF('Decision Tool 6 Buyers'!$D$32="$ per bushel",('Decision Tool 6 Buyers'!$F$32*((L69*100)-('Decision Tool 6 Buyers'!$C$32*100))),IF('Decision Tool 6 Buyers'!$D$32="% of weight/price",('Decision Tool 6 Buyers'!$F$32*'Decision Tool 6 Buyers'!$E$23)*((L69*100)-('Decision Tool 6 Buyers'!$C$32*100)),IF('Decision Tool 6 Buyers'!$D$32="Shrink + Dry",(('Decision Tool 6 Buyers'!$F$32*'Decision Tool 6 Buyers'!$E$23)+'Decision Tool 6 Buyers'!$H$32)*((L69*100)-('Decision Tool 6 Buyers'!$C$32*100)))))))</f>
        <v>0.1875</v>
      </c>
    </row>
    <row r="70" spans="2:13" x14ac:dyDescent="0.25">
      <c r="B70" s="158">
        <v>0.23</v>
      </c>
      <c r="C70" s="93">
        <f>IF('Decision Tool 6 Buyers'!$D$27="--Select--","",IF(B70&lt;'Decision Tool 6 Buyers'!$C$27,0,IF('Decision Tool 6 Buyers'!$D$27="$ per bushel",('Decision Tool 6 Buyers'!$F$27*((B70*100)-('Decision Tool 6 Buyers'!$C$27*100))),IF('Decision Tool 6 Buyers'!$D$27="% of weight/price",('Decision Tool 6 Buyers'!$F$27*'Decision Tool 6 Buyers'!$E$18)*((B70*100)-('Decision Tool 6 Buyers'!$C$27*100)),IF('Decision Tool 6 Buyers'!$D$27="Shrink + Dry",(('Decision Tool 6 Buyers'!$F$27*'Decision Tool 6 Buyers'!$E$18)+'Decision Tool 6 Buyers'!$H$27)*((B70*100)-('Decision Tool 6 Buyers'!$C$27*100)))))))</f>
        <v>0.70050000000000012</v>
      </c>
      <c r="D70" s="159">
        <v>0.23</v>
      </c>
      <c r="E70" s="93">
        <f>IF('Decision Tool 6 Buyers'!$D$28="--Select--","",IF(D70&lt;'Decision Tool 6 Buyers'!$C$28,0,IF('Decision Tool 6 Buyers'!$D$28="$ per bushel",('Decision Tool 6 Buyers'!$F$28*((D70*100)-('Decision Tool 6 Buyers'!$C$28*100))),IF('Decision Tool 6 Buyers'!$D$28="% of weight/price",('Decision Tool 6 Buyers'!$F$28*'Decision Tool 6 Buyers'!$E$19)*((D70*100)-('Decision Tool 6 Buyers'!$C$28*100)),IF('Decision Tool 6 Buyers'!$D$28="Shrink + Dry",(('Decision Tool 6 Buyers'!$F$28*'Decision Tool 6 Buyers'!$E$19)+'Decision Tool 6 Buyers'!$H$28)*((D70*100)-('Decision Tool 6 Buyers'!$C$28*100)))))))</f>
        <v>0.8500000000000002</v>
      </c>
      <c r="F70" s="159">
        <v>0.23</v>
      </c>
      <c r="G70" s="93">
        <f>IF('Decision Tool 6 Buyers'!$D$29="--Select--","",IF(F70&lt;'Decision Tool 6 Buyers'!$C$29,0,IF('Decision Tool 6 Buyers'!$D$29="$ per bushel",('Decision Tool 6 Buyers'!$F$29*((F70*100)-('Decision Tool 6 Buyers'!$C$29*100))),IF('Decision Tool 6 Buyers'!$D$29="% of weight/price",('Decision Tool 6 Buyers'!$F$29*'Decision Tool 6 Buyers'!$E$20)*((F70*100)-('Decision Tool 6 Buyers'!$C$29*100)),IF('Decision Tool 6 Buyers'!$D$29="Shrink + Dry",(('Decision Tool 6 Buyers'!$F$29*'Decision Tool 6 Buyers'!$E$20)+'Decision Tool 6 Buyers'!$H$29)*((F70*100)-('Decision Tool 6 Buyers'!$C$29*100)))))))</f>
        <v>0.55799999999999994</v>
      </c>
      <c r="H70" s="159">
        <v>0.23</v>
      </c>
      <c r="I70" s="93">
        <f>IF('Decision Tool 6 Buyers'!$D$30="--Select--","",IF(H70&lt;'Decision Tool 6 Buyers'!$C$30,0,IF('Decision Tool 6 Buyers'!$D$30="$ per bushel",('Decision Tool 6 Buyers'!$F$30*((H70*100)-('Decision Tool 6 Buyers'!$C$30*100))),IF('Decision Tool 6 Buyers'!$D$30="% of weight/price",('Decision Tool 6 Buyers'!$F$30*'Decision Tool 6 Buyers'!$E$21)*((H70*100)-('Decision Tool 6 Buyers'!$C$30*100)),IF('Decision Tool 6 Buyers'!$D$30="Shrink + Dry",(('Decision Tool 6 Buyers'!$F$30*'Decision Tool 6 Buyers'!$E$21)+'Decision Tool 6 Buyers'!$H$30)*((H70*100)-('Decision Tool 6 Buyers'!$C$30*100)))))))</f>
        <v>0.49600000000000005</v>
      </c>
      <c r="J70" s="159">
        <v>0.23</v>
      </c>
      <c r="K70" s="93">
        <f>IF('Decision Tool 6 Buyers'!$D$31="--Select--","",IF(J70&lt;'Decision Tool 6 Buyers'!$C$31,0,IF('Decision Tool 6 Buyers'!$D$31="$ per bushel",('Decision Tool 6 Buyers'!$F$31*((J70*100)-('Decision Tool 6 Buyers'!$C$31*100))),IF('Decision Tool 6 Buyers'!$D$31="% of weight/price",('Decision Tool 6 Buyers'!$F$31*'Decision Tool 6 Buyers'!$E$22)*((J70*100)-('Decision Tool 6 Buyers'!$C$31*100)),IF('Decision Tool 6 Buyers'!$D$31="Shrink + Dry",(('Decision Tool 6 Buyers'!$F$31*'Decision Tool 6 Buyers'!$E$22)+'Decision Tool 6 Buyers'!$H$31)*((J70*100)-('Decision Tool 6 Buyers'!$C$31*100)))))))</f>
        <v>0.12750000000000003</v>
      </c>
      <c r="L70" s="159">
        <v>0.23</v>
      </c>
      <c r="M70" s="96">
        <f>IF('Decision Tool 6 Buyers'!$D$32="--Select--","",IF(L70&lt;'Decision Tool 6 Buyers'!$C$32,0,IF('Decision Tool 6 Buyers'!$D$32="$ per bushel",('Decision Tool 6 Buyers'!$F$32*((L70*100)-('Decision Tool 6 Buyers'!$C$32*100))),IF('Decision Tool 6 Buyers'!$D$32="% of weight/price",('Decision Tool 6 Buyers'!$F$32*'Decision Tool 6 Buyers'!$E$23)*((L70*100)-('Decision Tool 6 Buyers'!$C$32*100)),IF('Decision Tool 6 Buyers'!$D$32="Shrink + Dry",(('Decision Tool 6 Buyers'!$F$32*'Decision Tool 6 Buyers'!$E$23)+'Decision Tool 6 Buyers'!$H$32)*((L70*100)-('Decision Tool 6 Buyers'!$C$32*100)))))))</f>
        <v>0.2</v>
      </c>
    </row>
    <row r="71" spans="2:13" x14ac:dyDescent="0.25">
      <c r="B71" s="156">
        <v>0.23499999999999999</v>
      </c>
      <c r="C71" s="94">
        <f>IF('Decision Tool 6 Buyers'!$D$27="--Select--","",IF(B71&lt;'Decision Tool 6 Buyers'!$C$27,0,IF('Decision Tool 6 Buyers'!$D$27="$ per bushel",('Decision Tool 6 Buyers'!$F$27*((B71*100)-('Decision Tool 6 Buyers'!$C$27*100))),IF('Decision Tool 6 Buyers'!$D$27="% of weight/price",('Decision Tool 6 Buyers'!$F$27*'Decision Tool 6 Buyers'!$E$18)*((B71*100)-('Decision Tool 6 Buyers'!$C$27*100)),IF('Decision Tool 6 Buyers'!$D$27="Shrink + Dry",(('Decision Tool 6 Buyers'!$F$27*'Decision Tool 6 Buyers'!$E$18)+'Decision Tool 6 Buyers'!$H$27)*((B71*100)-('Decision Tool 6 Buyers'!$C$27*100)))))))</f>
        <v>0.74720000000000009</v>
      </c>
      <c r="D71" s="157">
        <v>0.23499999999999999</v>
      </c>
      <c r="E71" s="94">
        <f>IF('Decision Tool 6 Buyers'!$D$28="--Select--","",IF(D71&lt;'Decision Tool 6 Buyers'!$C$28,0,IF('Decision Tool 6 Buyers'!$D$28="$ per bushel",('Decision Tool 6 Buyers'!$F$28*((D71*100)-('Decision Tool 6 Buyers'!$C$28*100))),IF('Decision Tool 6 Buyers'!$D$28="% of weight/price",('Decision Tool 6 Buyers'!$F$28*'Decision Tool 6 Buyers'!$E$19)*((D71*100)-('Decision Tool 6 Buyers'!$C$28*100)),IF('Decision Tool 6 Buyers'!$D$28="Shrink + Dry",(('Decision Tool 6 Buyers'!$F$28*'Decision Tool 6 Buyers'!$E$19)+'Decision Tool 6 Buyers'!$H$28)*((D71*100)-('Decision Tool 6 Buyers'!$C$28*100)))))))</f>
        <v>0.90000000000000024</v>
      </c>
      <c r="F71" s="157">
        <v>0.23499999999999999</v>
      </c>
      <c r="G71" s="94">
        <f>IF('Decision Tool 6 Buyers'!$D$29="--Select--","",IF(F71&lt;'Decision Tool 6 Buyers'!$C$29,0,IF('Decision Tool 6 Buyers'!$D$29="$ per bushel",('Decision Tool 6 Buyers'!$F$29*((F71*100)-('Decision Tool 6 Buyers'!$C$29*100))),IF('Decision Tool 6 Buyers'!$D$29="% of weight/price",('Decision Tool 6 Buyers'!$F$29*'Decision Tool 6 Buyers'!$E$20)*((F71*100)-('Decision Tool 6 Buyers'!$C$29*100)),IF('Decision Tool 6 Buyers'!$D$29="Shrink + Dry",(('Decision Tool 6 Buyers'!$F$29*'Decision Tool 6 Buyers'!$E$20)+'Decision Tool 6 Buyers'!$H$29)*((F71*100)-('Decision Tool 6 Buyers'!$C$29*100)))))))</f>
        <v>0.58899999999999997</v>
      </c>
      <c r="H71" s="157">
        <v>0.23499999999999999</v>
      </c>
      <c r="I71" s="94">
        <f>IF('Decision Tool 6 Buyers'!$D$30="--Select--","",IF(H71&lt;'Decision Tool 6 Buyers'!$C$30,0,IF('Decision Tool 6 Buyers'!$D$30="$ per bushel",('Decision Tool 6 Buyers'!$F$30*((H71*100)-('Decision Tool 6 Buyers'!$C$30*100))),IF('Decision Tool 6 Buyers'!$D$30="% of weight/price",('Decision Tool 6 Buyers'!$F$30*'Decision Tool 6 Buyers'!$E$21)*((H71*100)-('Decision Tool 6 Buyers'!$C$30*100)),IF('Decision Tool 6 Buyers'!$D$30="Shrink + Dry",(('Decision Tool 6 Buyers'!$F$30*'Decision Tool 6 Buyers'!$E$21)+'Decision Tool 6 Buyers'!$H$30)*((H71*100)-('Decision Tool 6 Buyers'!$C$30*100)))))))</f>
        <v>0.52700000000000002</v>
      </c>
      <c r="J71" s="157">
        <v>0.23499999999999999</v>
      </c>
      <c r="K71" s="94">
        <f>IF('Decision Tool 6 Buyers'!$D$31="--Select--","",IF(J71&lt;'Decision Tool 6 Buyers'!$C$31,0,IF('Decision Tool 6 Buyers'!$D$31="$ per bushel",('Decision Tool 6 Buyers'!$F$31*((J71*100)-('Decision Tool 6 Buyers'!$C$31*100))),IF('Decision Tool 6 Buyers'!$D$31="% of weight/price",('Decision Tool 6 Buyers'!$F$31*'Decision Tool 6 Buyers'!$E$22)*((J71*100)-('Decision Tool 6 Buyers'!$C$31*100)),IF('Decision Tool 6 Buyers'!$D$31="Shrink + Dry",(('Decision Tool 6 Buyers'!$F$31*'Decision Tool 6 Buyers'!$E$22)+'Decision Tool 6 Buyers'!$H$31)*((J71*100)-('Decision Tool 6 Buyers'!$C$31*100)))))))</f>
        <v>0.13500000000000001</v>
      </c>
      <c r="L71" s="157">
        <v>0.23499999999999999</v>
      </c>
      <c r="M71" s="97">
        <f>IF('Decision Tool 6 Buyers'!$D$32="--Select--","",IF(L71&lt;'Decision Tool 6 Buyers'!$C$32,0,IF('Decision Tool 6 Buyers'!$D$32="$ per bushel",('Decision Tool 6 Buyers'!$F$32*((L71*100)-('Decision Tool 6 Buyers'!$C$32*100))),IF('Decision Tool 6 Buyers'!$D$32="% of weight/price",('Decision Tool 6 Buyers'!$F$32*'Decision Tool 6 Buyers'!$E$23)*((L71*100)-('Decision Tool 6 Buyers'!$C$32*100)),IF('Decision Tool 6 Buyers'!$D$32="Shrink + Dry",(('Decision Tool 6 Buyers'!$F$32*'Decision Tool 6 Buyers'!$E$23)+'Decision Tool 6 Buyers'!$H$32)*((L71*100)-('Decision Tool 6 Buyers'!$C$32*100)))))))</f>
        <v>0.21250000000000002</v>
      </c>
    </row>
    <row r="72" spans="2:13" x14ac:dyDescent="0.25">
      <c r="B72" s="158">
        <v>0.24</v>
      </c>
      <c r="C72" s="93">
        <f>IF('Decision Tool 6 Buyers'!$D$27="--Select--","",IF(B72&lt;'Decision Tool 6 Buyers'!$C$27,0,IF('Decision Tool 6 Buyers'!$D$27="$ per bushel",('Decision Tool 6 Buyers'!$F$27*((B72*100)-('Decision Tool 6 Buyers'!$C$27*100))),IF('Decision Tool 6 Buyers'!$D$27="% of weight/price",('Decision Tool 6 Buyers'!$F$27*'Decision Tool 6 Buyers'!$E$18)*((B72*100)-('Decision Tool 6 Buyers'!$C$27*100)),IF('Decision Tool 6 Buyers'!$D$27="Shrink + Dry",(('Decision Tool 6 Buyers'!$F$27*'Decision Tool 6 Buyers'!$E$18)+'Decision Tool 6 Buyers'!$H$27)*((B72*100)-('Decision Tool 6 Buyers'!$C$27*100)))))))</f>
        <v>0.79390000000000005</v>
      </c>
      <c r="D72" s="159">
        <v>0.24</v>
      </c>
      <c r="E72" s="93">
        <f>IF('Decision Tool 6 Buyers'!$D$28="--Select--","",IF(D72&lt;'Decision Tool 6 Buyers'!$C$28,0,IF('Decision Tool 6 Buyers'!$D$28="$ per bushel",('Decision Tool 6 Buyers'!$F$28*((D72*100)-('Decision Tool 6 Buyers'!$C$28*100))),IF('Decision Tool 6 Buyers'!$D$28="% of weight/price",('Decision Tool 6 Buyers'!$F$28*'Decision Tool 6 Buyers'!$E$19)*((D72*100)-('Decision Tool 6 Buyers'!$C$28*100)),IF('Decision Tool 6 Buyers'!$D$28="Shrink + Dry",(('Decision Tool 6 Buyers'!$F$28*'Decision Tool 6 Buyers'!$E$19)+'Decision Tool 6 Buyers'!$H$28)*((D72*100)-('Decision Tool 6 Buyers'!$C$28*100)))))))</f>
        <v>0.95000000000000018</v>
      </c>
      <c r="F72" s="159">
        <v>0.24</v>
      </c>
      <c r="G72" s="93">
        <f>IF('Decision Tool 6 Buyers'!$D$29="--Select--","",IF(F72&lt;'Decision Tool 6 Buyers'!$C$29,0,IF('Decision Tool 6 Buyers'!$D$29="$ per bushel",('Decision Tool 6 Buyers'!$F$29*((F72*100)-('Decision Tool 6 Buyers'!$C$29*100))),IF('Decision Tool 6 Buyers'!$D$29="% of weight/price",('Decision Tool 6 Buyers'!$F$29*'Decision Tool 6 Buyers'!$E$20)*((F72*100)-('Decision Tool 6 Buyers'!$C$29*100)),IF('Decision Tool 6 Buyers'!$D$29="Shrink + Dry",(('Decision Tool 6 Buyers'!$F$29*'Decision Tool 6 Buyers'!$E$20)+'Decision Tool 6 Buyers'!$H$29)*((F72*100)-('Decision Tool 6 Buyers'!$C$29*100)))))))</f>
        <v>0.62</v>
      </c>
      <c r="H72" s="159">
        <v>0.24</v>
      </c>
      <c r="I72" s="93">
        <f>IF('Decision Tool 6 Buyers'!$D$30="--Select--","",IF(H72&lt;'Decision Tool 6 Buyers'!$C$30,0,IF('Decision Tool 6 Buyers'!$D$30="$ per bushel",('Decision Tool 6 Buyers'!$F$30*((H72*100)-('Decision Tool 6 Buyers'!$C$30*100))),IF('Decision Tool 6 Buyers'!$D$30="% of weight/price",('Decision Tool 6 Buyers'!$F$30*'Decision Tool 6 Buyers'!$E$21)*((H72*100)-('Decision Tool 6 Buyers'!$C$30*100)),IF('Decision Tool 6 Buyers'!$D$30="Shrink + Dry",(('Decision Tool 6 Buyers'!$F$30*'Decision Tool 6 Buyers'!$E$21)+'Decision Tool 6 Buyers'!$H$30)*((H72*100)-('Decision Tool 6 Buyers'!$C$30*100)))))))</f>
        <v>0.55800000000000005</v>
      </c>
      <c r="J72" s="159">
        <v>0.24</v>
      </c>
      <c r="K72" s="93">
        <f>IF('Decision Tool 6 Buyers'!$D$31="--Select--","",IF(J72&lt;'Decision Tool 6 Buyers'!$C$31,0,IF('Decision Tool 6 Buyers'!$D$31="$ per bushel",('Decision Tool 6 Buyers'!$F$31*((J72*100)-('Decision Tool 6 Buyers'!$C$31*100))),IF('Decision Tool 6 Buyers'!$D$31="% of weight/price",('Decision Tool 6 Buyers'!$F$31*'Decision Tool 6 Buyers'!$E$22)*((J72*100)-('Decision Tool 6 Buyers'!$C$31*100)),IF('Decision Tool 6 Buyers'!$D$31="Shrink + Dry",(('Decision Tool 6 Buyers'!$F$31*'Decision Tool 6 Buyers'!$E$22)+'Decision Tool 6 Buyers'!$H$31)*((J72*100)-('Decision Tool 6 Buyers'!$C$31*100)))))))</f>
        <v>0.14250000000000002</v>
      </c>
      <c r="L72" s="159">
        <v>0.24</v>
      </c>
      <c r="M72" s="96">
        <f>IF('Decision Tool 6 Buyers'!$D$32="--Select--","",IF(L72&lt;'Decision Tool 6 Buyers'!$C$32,0,IF('Decision Tool 6 Buyers'!$D$32="$ per bushel",('Decision Tool 6 Buyers'!$F$32*((L72*100)-('Decision Tool 6 Buyers'!$C$32*100))),IF('Decision Tool 6 Buyers'!$D$32="% of weight/price",('Decision Tool 6 Buyers'!$F$32*'Decision Tool 6 Buyers'!$E$23)*((L72*100)-('Decision Tool 6 Buyers'!$C$32*100)),IF('Decision Tool 6 Buyers'!$D$32="Shrink + Dry",(('Decision Tool 6 Buyers'!$F$32*'Decision Tool 6 Buyers'!$E$23)+'Decision Tool 6 Buyers'!$H$32)*((L72*100)-('Decision Tool 6 Buyers'!$C$32*100)))))))</f>
        <v>0.22500000000000001</v>
      </c>
    </row>
    <row r="73" spans="2:13" x14ac:dyDescent="0.25">
      <c r="B73" s="156">
        <v>0.245</v>
      </c>
      <c r="C73" s="94">
        <f>IF('Decision Tool 6 Buyers'!$D$27="--Select--","",IF(B73&lt;'Decision Tool 6 Buyers'!$C$27,0,IF('Decision Tool 6 Buyers'!$D$27="$ per bushel",('Decision Tool 6 Buyers'!$F$27*((B73*100)-('Decision Tool 6 Buyers'!$C$27*100))),IF('Decision Tool 6 Buyers'!$D$27="% of weight/price",('Decision Tool 6 Buyers'!$F$27*'Decision Tool 6 Buyers'!$E$18)*((B73*100)-('Decision Tool 6 Buyers'!$C$27*100)),IF('Decision Tool 6 Buyers'!$D$27="Shrink + Dry",(('Decision Tool 6 Buyers'!$F$27*'Decision Tool 6 Buyers'!$E$18)+'Decision Tool 6 Buyers'!$H$27)*((B73*100)-('Decision Tool 6 Buyers'!$C$27*100)))))))</f>
        <v>0.84060000000000012</v>
      </c>
      <c r="D73" s="157">
        <v>0.245</v>
      </c>
      <c r="E73" s="94">
        <f>IF('Decision Tool 6 Buyers'!$D$28="--Select--","",IF(D73&lt;'Decision Tool 6 Buyers'!$C$28,0,IF('Decision Tool 6 Buyers'!$D$28="$ per bushel",('Decision Tool 6 Buyers'!$F$28*((D73*100)-('Decision Tool 6 Buyers'!$C$28*100))),IF('Decision Tool 6 Buyers'!$D$28="% of weight/price",('Decision Tool 6 Buyers'!$F$28*'Decision Tool 6 Buyers'!$E$19)*((D73*100)-('Decision Tool 6 Buyers'!$C$28*100)),IF('Decision Tool 6 Buyers'!$D$28="Shrink + Dry",(('Decision Tool 6 Buyers'!$F$28*'Decision Tool 6 Buyers'!$E$19)+'Decision Tool 6 Buyers'!$H$28)*((D73*100)-('Decision Tool 6 Buyers'!$C$28*100)))))))</f>
        <v>1.0000000000000002</v>
      </c>
      <c r="F73" s="157">
        <v>0.245</v>
      </c>
      <c r="G73" s="94">
        <f>IF('Decision Tool 6 Buyers'!$D$29="--Select--","",IF(F73&lt;'Decision Tool 6 Buyers'!$C$29,0,IF('Decision Tool 6 Buyers'!$D$29="$ per bushel",('Decision Tool 6 Buyers'!$F$29*((F73*100)-('Decision Tool 6 Buyers'!$C$29*100))),IF('Decision Tool 6 Buyers'!$D$29="% of weight/price",('Decision Tool 6 Buyers'!$F$29*'Decision Tool 6 Buyers'!$E$20)*((F73*100)-('Decision Tool 6 Buyers'!$C$29*100)),IF('Decision Tool 6 Buyers'!$D$29="Shrink + Dry",(('Decision Tool 6 Buyers'!$F$29*'Decision Tool 6 Buyers'!$E$20)+'Decision Tool 6 Buyers'!$H$29)*((F73*100)-('Decision Tool 6 Buyers'!$C$29*100)))))))</f>
        <v>0.65099999999999991</v>
      </c>
      <c r="H73" s="157">
        <v>0.245</v>
      </c>
      <c r="I73" s="94">
        <f>IF('Decision Tool 6 Buyers'!$D$30="--Select--","",IF(H73&lt;'Decision Tool 6 Buyers'!$C$30,0,IF('Decision Tool 6 Buyers'!$D$30="$ per bushel",('Decision Tool 6 Buyers'!$F$30*((H73*100)-('Decision Tool 6 Buyers'!$C$30*100))),IF('Decision Tool 6 Buyers'!$D$30="% of weight/price",('Decision Tool 6 Buyers'!$F$30*'Decision Tool 6 Buyers'!$E$21)*((H73*100)-('Decision Tool 6 Buyers'!$C$30*100)),IF('Decision Tool 6 Buyers'!$D$30="Shrink + Dry",(('Decision Tool 6 Buyers'!$F$30*'Decision Tool 6 Buyers'!$E$21)+'Decision Tool 6 Buyers'!$H$30)*((H73*100)-('Decision Tool 6 Buyers'!$C$30*100)))))))</f>
        <v>0.58900000000000008</v>
      </c>
      <c r="J73" s="157">
        <v>0.245</v>
      </c>
      <c r="K73" s="94">
        <f>IF('Decision Tool 6 Buyers'!$D$31="--Select--","",IF(J73&lt;'Decision Tool 6 Buyers'!$C$31,0,IF('Decision Tool 6 Buyers'!$D$31="$ per bushel",('Decision Tool 6 Buyers'!$F$31*((J73*100)-('Decision Tool 6 Buyers'!$C$31*100))),IF('Decision Tool 6 Buyers'!$D$31="% of weight/price",('Decision Tool 6 Buyers'!$F$31*'Decision Tool 6 Buyers'!$E$22)*((J73*100)-('Decision Tool 6 Buyers'!$C$31*100)),IF('Decision Tool 6 Buyers'!$D$31="Shrink + Dry",(('Decision Tool 6 Buyers'!$F$31*'Decision Tool 6 Buyers'!$E$22)+'Decision Tool 6 Buyers'!$H$31)*((J73*100)-('Decision Tool 6 Buyers'!$C$31*100)))))))</f>
        <v>0.15000000000000002</v>
      </c>
      <c r="L73" s="157">
        <v>0.245</v>
      </c>
      <c r="M73" s="97">
        <f>IF('Decision Tool 6 Buyers'!$D$32="--Select--","",IF(L73&lt;'Decision Tool 6 Buyers'!$C$32,0,IF('Decision Tool 6 Buyers'!$D$32="$ per bushel",('Decision Tool 6 Buyers'!$F$32*((L73*100)-('Decision Tool 6 Buyers'!$C$32*100))),IF('Decision Tool 6 Buyers'!$D$32="% of weight/price",('Decision Tool 6 Buyers'!$F$32*'Decision Tool 6 Buyers'!$E$23)*((L73*100)-('Decision Tool 6 Buyers'!$C$32*100)),IF('Decision Tool 6 Buyers'!$D$32="Shrink + Dry",(('Decision Tool 6 Buyers'!$F$32*'Decision Tool 6 Buyers'!$E$23)+'Decision Tool 6 Buyers'!$H$32)*((L73*100)-('Decision Tool 6 Buyers'!$C$32*100)))))))</f>
        <v>0.23750000000000002</v>
      </c>
    </row>
    <row r="74" spans="2:13" x14ac:dyDescent="0.25">
      <c r="B74" s="158">
        <v>0.25</v>
      </c>
      <c r="C74" s="93">
        <f>IF('Decision Tool 6 Buyers'!$D$27="--Select--","",IF(B74&lt;'Decision Tool 6 Buyers'!$C$27,0,IF('Decision Tool 6 Buyers'!$D$27="$ per bushel",('Decision Tool 6 Buyers'!$F$27*((B74*100)-('Decision Tool 6 Buyers'!$C$27*100))),IF('Decision Tool 6 Buyers'!$D$27="% of weight/price",('Decision Tool 6 Buyers'!$F$27*'Decision Tool 6 Buyers'!$E$18)*((B74*100)-('Decision Tool 6 Buyers'!$C$27*100)),IF('Decision Tool 6 Buyers'!$D$27="Shrink + Dry",(('Decision Tool 6 Buyers'!$F$27*'Decision Tool 6 Buyers'!$E$18)+'Decision Tool 6 Buyers'!$H$27)*((B74*100)-('Decision Tool 6 Buyers'!$C$27*100)))))))</f>
        <v>0.88730000000000009</v>
      </c>
      <c r="D74" s="159">
        <v>0.25</v>
      </c>
      <c r="E74" s="93">
        <f>IF('Decision Tool 6 Buyers'!$D$28="--Select--","",IF(D74&lt;'Decision Tool 6 Buyers'!$C$28,0,IF('Decision Tool 6 Buyers'!$D$28="$ per bushel",('Decision Tool 6 Buyers'!$F$28*((D74*100)-('Decision Tool 6 Buyers'!$C$28*100))),IF('Decision Tool 6 Buyers'!$D$28="% of weight/price",('Decision Tool 6 Buyers'!$F$28*'Decision Tool 6 Buyers'!$E$19)*((D74*100)-('Decision Tool 6 Buyers'!$C$28*100)),IF('Decision Tool 6 Buyers'!$D$28="Shrink + Dry",(('Decision Tool 6 Buyers'!$F$28*'Decision Tool 6 Buyers'!$E$19)+'Decision Tool 6 Buyers'!$H$28)*((D74*100)-('Decision Tool 6 Buyers'!$C$28*100)))))))</f>
        <v>1.0500000000000003</v>
      </c>
      <c r="F74" s="159">
        <v>0.25</v>
      </c>
      <c r="G74" s="93">
        <f>IF('Decision Tool 6 Buyers'!$D$29="--Select--","",IF(F74&lt;'Decision Tool 6 Buyers'!$C$29,0,IF('Decision Tool 6 Buyers'!$D$29="$ per bushel",('Decision Tool 6 Buyers'!$F$29*((F74*100)-('Decision Tool 6 Buyers'!$C$29*100))),IF('Decision Tool 6 Buyers'!$D$29="% of weight/price",('Decision Tool 6 Buyers'!$F$29*'Decision Tool 6 Buyers'!$E$20)*((F74*100)-('Decision Tool 6 Buyers'!$C$29*100)),IF('Decision Tool 6 Buyers'!$D$29="Shrink + Dry",(('Decision Tool 6 Buyers'!$F$29*'Decision Tool 6 Buyers'!$E$20)+'Decision Tool 6 Buyers'!$H$29)*((F74*100)-('Decision Tool 6 Buyers'!$C$29*100)))))))</f>
        <v>0.68199999999999994</v>
      </c>
      <c r="H74" s="159">
        <v>0.25</v>
      </c>
      <c r="I74" s="93">
        <f>IF('Decision Tool 6 Buyers'!$D$30="--Select--","",IF(H74&lt;'Decision Tool 6 Buyers'!$C$30,0,IF('Decision Tool 6 Buyers'!$D$30="$ per bushel",('Decision Tool 6 Buyers'!$F$30*((H74*100)-('Decision Tool 6 Buyers'!$C$30*100))),IF('Decision Tool 6 Buyers'!$D$30="% of weight/price",('Decision Tool 6 Buyers'!$F$30*'Decision Tool 6 Buyers'!$E$21)*((H74*100)-('Decision Tool 6 Buyers'!$C$30*100)),IF('Decision Tool 6 Buyers'!$D$30="Shrink + Dry",(('Decision Tool 6 Buyers'!$F$30*'Decision Tool 6 Buyers'!$E$21)+'Decision Tool 6 Buyers'!$H$30)*((H74*100)-('Decision Tool 6 Buyers'!$C$30*100)))))))</f>
        <v>0.62000000000000011</v>
      </c>
      <c r="J74" s="159">
        <v>0.25</v>
      </c>
      <c r="K74" s="93">
        <f>IF('Decision Tool 6 Buyers'!$D$31="--Select--","",IF(J74&lt;'Decision Tool 6 Buyers'!$C$31,0,IF('Decision Tool 6 Buyers'!$D$31="$ per bushel",('Decision Tool 6 Buyers'!$F$31*((J74*100)-('Decision Tool 6 Buyers'!$C$31*100))),IF('Decision Tool 6 Buyers'!$D$31="% of weight/price",('Decision Tool 6 Buyers'!$F$31*'Decision Tool 6 Buyers'!$E$22)*((J74*100)-('Decision Tool 6 Buyers'!$C$31*100)),IF('Decision Tool 6 Buyers'!$D$31="Shrink + Dry",(('Decision Tool 6 Buyers'!$F$31*'Decision Tool 6 Buyers'!$E$22)+'Decision Tool 6 Buyers'!$H$31)*((J74*100)-('Decision Tool 6 Buyers'!$C$31*100)))))))</f>
        <v>0.15750000000000003</v>
      </c>
      <c r="L74" s="159">
        <v>0.25</v>
      </c>
      <c r="M74" s="96">
        <f>IF('Decision Tool 6 Buyers'!$D$32="--Select--","",IF(L74&lt;'Decision Tool 6 Buyers'!$C$32,0,IF('Decision Tool 6 Buyers'!$D$32="$ per bushel",('Decision Tool 6 Buyers'!$F$32*((L74*100)-('Decision Tool 6 Buyers'!$C$32*100))),IF('Decision Tool 6 Buyers'!$D$32="% of weight/price",('Decision Tool 6 Buyers'!$F$32*'Decision Tool 6 Buyers'!$E$23)*((L74*100)-('Decision Tool 6 Buyers'!$C$32*100)),IF('Decision Tool 6 Buyers'!$D$32="Shrink + Dry",(('Decision Tool 6 Buyers'!$F$32*'Decision Tool 6 Buyers'!$E$23)+'Decision Tool 6 Buyers'!$H$32)*((L74*100)-('Decision Tool 6 Buyers'!$C$32*100)))))))</f>
        <v>0.25</v>
      </c>
    </row>
    <row r="75" spans="2:13" x14ac:dyDescent="0.25">
      <c r="B75" s="156">
        <v>0.255</v>
      </c>
      <c r="C75" s="94">
        <f>IF('Decision Tool 6 Buyers'!$D$27="--Select--","",IF(B75&lt;'Decision Tool 6 Buyers'!$C$27,0,IF('Decision Tool 6 Buyers'!$D$27="$ per bushel",('Decision Tool 6 Buyers'!$F$27*((B75*100)-('Decision Tool 6 Buyers'!$C$27*100))),IF('Decision Tool 6 Buyers'!$D$27="% of weight/price",('Decision Tool 6 Buyers'!$F$27*'Decision Tool 6 Buyers'!$E$18)*((B75*100)-('Decision Tool 6 Buyers'!$C$27*100)),IF('Decision Tool 6 Buyers'!$D$27="Shrink + Dry",(('Decision Tool 6 Buyers'!$F$27*'Decision Tool 6 Buyers'!$E$18)+'Decision Tool 6 Buyers'!$H$27)*((B75*100)-('Decision Tool 6 Buyers'!$C$27*100)))))))</f>
        <v>0.93400000000000016</v>
      </c>
      <c r="D75" s="157">
        <v>0.255</v>
      </c>
      <c r="E75" s="94">
        <f>IF('Decision Tool 6 Buyers'!$D$28="--Select--","",IF(D75&lt;'Decision Tool 6 Buyers'!$C$28,0,IF('Decision Tool 6 Buyers'!$D$28="$ per bushel",('Decision Tool 6 Buyers'!$F$28*((D75*100)-('Decision Tool 6 Buyers'!$C$28*100))),IF('Decision Tool 6 Buyers'!$D$28="% of weight/price",('Decision Tool 6 Buyers'!$F$28*'Decision Tool 6 Buyers'!$E$19)*((D75*100)-('Decision Tool 6 Buyers'!$C$28*100)),IF('Decision Tool 6 Buyers'!$D$28="Shrink + Dry",(('Decision Tool 6 Buyers'!$F$28*'Decision Tool 6 Buyers'!$E$19)+'Decision Tool 6 Buyers'!$H$28)*((D75*100)-('Decision Tool 6 Buyers'!$C$28*100)))))))</f>
        <v>1.1000000000000003</v>
      </c>
      <c r="F75" s="157">
        <v>0.255</v>
      </c>
      <c r="G75" s="94">
        <f>IF('Decision Tool 6 Buyers'!$D$29="--Select--","",IF(F75&lt;'Decision Tool 6 Buyers'!$C$29,0,IF('Decision Tool 6 Buyers'!$D$29="$ per bushel",('Decision Tool 6 Buyers'!$F$29*((F75*100)-('Decision Tool 6 Buyers'!$C$29*100))),IF('Decision Tool 6 Buyers'!$D$29="% of weight/price",('Decision Tool 6 Buyers'!$F$29*'Decision Tool 6 Buyers'!$E$20)*((F75*100)-('Decision Tool 6 Buyers'!$C$29*100)),IF('Decision Tool 6 Buyers'!$D$29="Shrink + Dry",(('Decision Tool 6 Buyers'!$F$29*'Decision Tool 6 Buyers'!$E$20)+'Decision Tool 6 Buyers'!$H$29)*((F75*100)-('Decision Tool 6 Buyers'!$C$29*100)))))))</f>
        <v>0.71299999999999997</v>
      </c>
      <c r="H75" s="157">
        <v>0.255</v>
      </c>
      <c r="I75" s="94">
        <f>IF('Decision Tool 6 Buyers'!$D$30="--Select--","",IF(H75&lt;'Decision Tool 6 Buyers'!$C$30,0,IF('Decision Tool 6 Buyers'!$D$30="$ per bushel",('Decision Tool 6 Buyers'!$F$30*((H75*100)-('Decision Tool 6 Buyers'!$C$30*100))),IF('Decision Tool 6 Buyers'!$D$30="% of weight/price",('Decision Tool 6 Buyers'!$F$30*'Decision Tool 6 Buyers'!$E$21)*((H75*100)-('Decision Tool 6 Buyers'!$C$30*100)),IF('Decision Tool 6 Buyers'!$D$30="Shrink + Dry",(('Decision Tool 6 Buyers'!$F$30*'Decision Tool 6 Buyers'!$E$21)+'Decision Tool 6 Buyers'!$H$30)*((H75*100)-('Decision Tool 6 Buyers'!$C$30*100)))))))</f>
        <v>0.65100000000000002</v>
      </c>
      <c r="J75" s="157">
        <v>0.255</v>
      </c>
      <c r="K75" s="94">
        <f>IF('Decision Tool 6 Buyers'!$D$31="--Select--","",IF(J75&lt;'Decision Tool 6 Buyers'!$C$31,0,IF('Decision Tool 6 Buyers'!$D$31="$ per bushel",('Decision Tool 6 Buyers'!$F$31*((J75*100)-('Decision Tool 6 Buyers'!$C$31*100))),IF('Decision Tool 6 Buyers'!$D$31="% of weight/price",('Decision Tool 6 Buyers'!$F$31*'Decision Tool 6 Buyers'!$E$22)*((J75*100)-('Decision Tool 6 Buyers'!$C$31*100)),IF('Decision Tool 6 Buyers'!$D$31="Shrink + Dry",(('Decision Tool 6 Buyers'!$F$31*'Decision Tool 6 Buyers'!$E$22)+'Decision Tool 6 Buyers'!$H$31)*((J75*100)-('Decision Tool 6 Buyers'!$C$31*100)))))))</f>
        <v>0.16500000000000001</v>
      </c>
      <c r="L75" s="157">
        <v>0.255</v>
      </c>
      <c r="M75" s="97">
        <f>IF('Decision Tool 6 Buyers'!$D$32="--Select--","",IF(L75&lt;'Decision Tool 6 Buyers'!$C$32,0,IF('Decision Tool 6 Buyers'!$D$32="$ per bushel",('Decision Tool 6 Buyers'!$F$32*((L75*100)-('Decision Tool 6 Buyers'!$C$32*100))),IF('Decision Tool 6 Buyers'!$D$32="% of weight/price",('Decision Tool 6 Buyers'!$F$32*'Decision Tool 6 Buyers'!$E$23)*((L75*100)-('Decision Tool 6 Buyers'!$C$32*100)),IF('Decision Tool 6 Buyers'!$D$32="Shrink + Dry",(('Decision Tool 6 Buyers'!$F$32*'Decision Tool 6 Buyers'!$E$23)+'Decision Tool 6 Buyers'!$H$32)*((L75*100)-('Decision Tool 6 Buyers'!$C$32*100)))))))</f>
        <v>0.26250000000000001</v>
      </c>
    </row>
    <row r="76" spans="2:13" x14ac:dyDescent="0.25">
      <c r="B76" s="158">
        <v>0.26</v>
      </c>
      <c r="C76" s="93">
        <f>IF('Decision Tool 6 Buyers'!$D$27="--Select--","",IF(B76&lt;'Decision Tool 6 Buyers'!$C$27,0,IF('Decision Tool 6 Buyers'!$D$27="$ per bushel",('Decision Tool 6 Buyers'!$F$27*((B76*100)-('Decision Tool 6 Buyers'!$C$27*100))),IF('Decision Tool 6 Buyers'!$D$27="% of weight/price",('Decision Tool 6 Buyers'!$F$27*'Decision Tool 6 Buyers'!$E$18)*((B76*100)-('Decision Tool 6 Buyers'!$C$27*100)),IF('Decision Tool 6 Buyers'!$D$27="Shrink + Dry",(('Decision Tool 6 Buyers'!$F$27*'Decision Tool 6 Buyers'!$E$18)+'Decision Tool 6 Buyers'!$H$27)*((B76*100)-('Decision Tool 6 Buyers'!$C$27*100)))))))</f>
        <v>0.98070000000000013</v>
      </c>
      <c r="D76" s="159">
        <v>0.26</v>
      </c>
      <c r="E76" s="93">
        <f>IF('Decision Tool 6 Buyers'!$D$28="--Select--","",IF(D76&lt;'Decision Tool 6 Buyers'!$C$28,0,IF('Decision Tool 6 Buyers'!$D$28="$ per bushel",('Decision Tool 6 Buyers'!$F$28*((D76*100)-('Decision Tool 6 Buyers'!$C$28*100))),IF('Decision Tool 6 Buyers'!$D$28="% of weight/price",('Decision Tool 6 Buyers'!$F$28*'Decision Tool 6 Buyers'!$E$19)*((D76*100)-('Decision Tool 6 Buyers'!$C$28*100)),IF('Decision Tool 6 Buyers'!$D$28="Shrink + Dry",(('Decision Tool 6 Buyers'!$F$28*'Decision Tool 6 Buyers'!$E$19)+'Decision Tool 6 Buyers'!$H$28)*((D76*100)-('Decision Tool 6 Buyers'!$C$28*100)))))))</f>
        <v>1.1500000000000001</v>
      </c>
      <c r="F76" s="159">
        <v>0.26</v>
      </c>
      <c r="G76" s="93">
        <f>IF('Decision Tool 6 Buyers'!$D$29="--Select--","",IF(F76&lt;'Decision Tool 6 Buyers'!$C$29,0,IF('Decision Tool 6 Buyers'!$D$29="$ per bushel",('Decision Tool 6 Buyers'!$F$29*((F76*100)-('Decision Tool 6 Buyers'!$C$29*100))),IF('Decision Tool 6 Buyers'!$D$29="% of weight/price",('Decision Tool 6 Buyers'!$F$29*'Decision Tool 6 Buyers'!$E$20)*((F76*100)-('Decision Tool 6 Buyers'!$C$29*100)),IF('Decision Tool 6 Buyers'!$D$29="Shrink + Dry",(('Decision Tool 6 Buyers'!$F$29*'Decision Tool 6 Buyers'!$E$20)+'Decision Tool 6 Buyers'!$H$29)*((F76*100)-('Decision Tool 6 Buyers'!$C$29*100)))))))</f>
        <v>0.74399999999999999</v>
      </c>
      <c r="H76" s="159">
        <v>0.26</v>
      </c>
      <c r="I76" s="93">
        <f>IF('Decision Tool 6 Buyers'!$D$30="--Select--","",IF(H76&lt;'Decision Tool 6 Buyers'!$C$30,0,IF('Decision Tool 6 Buyers'!$D$30="$ per bushel",('Decision Tool 6 Buyers'!$F$30*((H76*100)-('Decision Tool 6 Buyers'!$C$30*100))),IF('Decision Tool 6 Buyers'!$D$30="% of weight/price",('Decision Tool 6 Buyers'!$F$30*'Decision Tool 6 Buyers'!$E$21)*((H76*100)-('Decision Tool 6 Buyers'!$C$30*100)),IF('Decision Tool 6 Buyers'!$D$30="Shrink + Dry",(('Decision Tool 6 Buyers'!$F$30*'Decision Tool 6 Buyers'!$E$21)+'Decision Tool 6 Buyers'!$H$30)*((H76*100)-('Decision Tool 6 Buyers'!$C$30*100)))))))</f>
        <v>0.68200000000000005</v>
      </c>
      <c r="J76" s="159">
        <v>0.26</v>
      </c>
      <c r="K76" s="93">
        <f>IF('Decision Tool 6 Buyers'!$D$31="--Select--","",IF(J76&lt;'Decision Tool 6 Buyers'!$C$31,0,IF('Decision Tool 6 Buyers'!$D$31="$ per bushel",('Decision Tool 6 Buyers'!$F$31*((J76*100)-('Decision Tool 6 Buyers'!$C$31*100))),IF('Decision Tool 6 Buyers'!$D$31="% of weight/price",('Decision Tool 6 Buyers'!$F$31*'Decision Tool 6 Buyers'!$E$22)*((J76*100)-('Decision Tool 6 Buyers'!$C$31*100)),IF('Decision Tool 6 Buyers'!$D$31="Shrink + Dry",(('Decision Tool 6 Buyers'!$F$31*'Decision Tool 6 Buyers'!$E$22)+'Decision Tool 6 Buyers'!$H$31)*((J76*100)-('Decision Tool 6 Buyers'!$C$31*100)))))))</f>
        <v>0.17250000000000001</v>
      </c>
      <c r="L76" s="159">
        <v>0.26</v>
      </c>
      <c r="M76" s="96">
        <f>IF('Decision Tool 6 Buyers'!$D$32="--Select--","",IF(L76&lt;'Decision Tool 6 Buyers'!$C$32,0,IF('Decision Tool 6 Buyers'!$D$32="$ per bushel",('Decision Tool 6 Buyers'!$F$32*((L76*100)-('Decision Tool 6 Buyers'!$C$32*100))),IF('Decision Tool 6 Buyers'!$D$32="% of weight/price",('Decision Tool 6 Buyers'!$F$32*'Decision Tool 6 Buyers'!$E$23)*((L76*100)-('Decision Tool 6 Buyers'!$C$32*100)),IF('Decision Tool 6 Buyers'!$D$32="Shrink + Dry",(('Decision Tool 6 Buyers'!$F$32*'Decision Tool 6 Buyers'!$E$23)+'Decision Tool 6 Buyers'!$H$32)*((L76*100)-('Decision Tool 6 Buyers'!$C$32*100)))))))</f>
        <v>0.27500000000000002</v>
      </c>
    </row>
    <row r="77" spans="2:13" x14ac:dyDescent="0.25">
      <c r="B77" s="156">
        <v>0.26500000000000001</v>
      </c>
      <c r="C77" s="94">
        <f>IF('Decision Tool 6 Buyers'!$D$27="--Select--","",IF(B77&lt;'Decision Tool 6 Buyers'!$C$27,0,IF('Decision Tool 6 Buyers'!$D$27="$ per bushel",('Decision Tool 6 Buyers'!$F$27*((B77*100)-('Decision Tool 6 Buyers'!$C$27*100))),IF('Decision Tool 6 Buyers'!$D$27="% of weight/price",('Decision Tool 6 Buyers'!$F$27*'Decision Tool 6 Buyers'!$E$18)*((B77*100)-('Decision Tool 6 Buyers'!$C$27*100)),IF('Decision Tool 6 Buyers'!$D$27="Shrink + Dry",(('Decision Tool 6 Buyers'!$F$27*'Decision Tool 6 Buyers'!$E$18)+'Decision Tool 6 Buyers'!$H$27)*((B77*100)-('Decision Tool 6 Buyers'!$C$27*100)))))))</f>
        <v>1.0274000000000001</v>
      </c>
      <c r="D77" s="157">
        <v>0.26500000000000001</v>
      </c>
      <c r="E77" s="94">
        <f>IF('Decision Tool 6 Buyers'!$D$28="--Select--","",IF(D77&lt;'Decision Tool 6 Buyers'!$C$28,0,IF('Decision Tool 6 Buyers'!$D$28="$ per bushel",('Decision Tool 6 Buyers'!$F$28*((D77*100)-('Decision Tool 6 Buyers'!$C$28*100))),IF('Decision Tool 6 Buyers'!$D$28="% of weight/price",('Decision Tool 6 Buyers'!$F$28*'Decision Tool 6 Buyers'!$E$19)*((D77*100)-('Decision Tool 6 Buyers'!$C$28*100)),IF('Decision Tool 6 Buyers'!$D$28="Shrink + Dry",(('Decision Tool 6 Buyers'!$F$28*'Decision Tool 6 Buyers'!$E$19)+'Decision Tool 6 Buyers'!$H$28)*((D77*100)-('Decision Tool 6 Buyers'!$C$28*100)))))))</f>
        <v>1.2000000000000002</v>
      </c>
      <c r="F77" s="157">
        <v>0.26500000000000001</v>
      </c>
      <c r="G77" s="94">
        <f>IF('Decision Tool 6 Buyers'!$D$29="--Select--","",IF(F77&lt;'Decision Tool 6 Buyers'!$C$29,0,IF('Decision Tool 6 Buyers'!$D$29="$ per bushel",('Decision Tool 6 Buyers'!$F$29*((F77*100)-('Decision Tool 6 Buyers'!$C$29*100))),IF('Decision Tool 6 Buyers'!$D$29="% of weight/price",('Decision Tool 6 Buyers'!$F$29*'Decision Tool 6 Buyers'!$E$20)*((F77*100)-('Decision Tool 6 Buyers'!$C$29*100)),IF('Decision Tool 6 Buyers'!$D$29="Shrink + Dry",(('Decision Tool 6 Buyers'!$F$29*'Decision Tool 6 Buyers'!$E$20)+'Decision Tool 6 Buyers'!$H$29)*((F77*100)-('Decision Tool 6 Buyers'!$C$29*100)))))))</f>
        <v>0.77500000000000002</v>
      </c>
      <c r="H77" s="157">
        <v>0.26500000000000001</v>
      </c>
      <c r="I77" s="94">
        <f>IF('Decision Tool 6 Buyers'!$D$30="--Select--","",IF(H77&lt;'Decision Tool 6 Buyers'!$C$30,0,IF('Decision Tool 6 Buyers'!$D$30="$ per bushel",('Decision Tool 6 Buyers'!$F$30*((H77*100)-('Decision Tool 6 Buyers'!$C$30*100))),IF('Decision Tool 6 Buyers'!$D$30="% of weight/price",('Decision Tool 6 Buyers'!$F$30*'Decision Tool 6 Buyers'!$E$21)*((H77*100)-('Decision Tool 6 Buyers'!$C$30*100)),IF('Decision Tool 6 Buyers'!$D$30="Shrink + Dry",(('Decision Tool 6 Buyers'!$F$30*'Decision Tool 6 Buyers'!$E$21)+'Decision Tool 6 Buyers'!$H$30)*((H77*100)-('Decision Tool 6 Buyers'!$C$30*100)))))))</f>
        <v>0.71300000000000008</v>
      </c>
      <c r="J77" s="157">
        <v>0.26500000000000001</v>
      </c>
      <c r="K77" s="94">
        <f>IF('Decision Tool 6 Buyers'!$D$31="--Select--","",IF(J77&lt;'Decision Tool 6 Buyers'!$C$31,0,IF('Decision Tool 6 Buyers'!$D$31="$ per bushel",('Decision Tool 6 Buyers'!$F$31*((J77*100)-('Decision Tool 6 Buyers'!$C$31*100))),IF('Decision Tool 6 Buyers'!$D$31="% of weight/price",('Decision Tool 6 Buyers'!$F$31*'Decision Tool 6 Buyers'!$E$22)*((J77*100)-('Decision Tool 6 Buyers'!$C$31*100)),IF('Decision Tool 6 Buyers'!$D$31="Shrink + Dry",(('Decision Tool 6 Buyers'!$F$31*'Decision Tool 6 Buyers'!$E$22)+'Decision Tool 6 Buyers'!$H$31)*((J77*100)-('Decision Tool 6 Buyers'!$C$31*100)))))))</f>
        <v>0.18000000000000002</v>
      </c>
      <c r="L77" s="157">
        <v>0.26500000000000001</v>
      </c>
      <c r="M77" s="97">
        <f>IF('Decision Tool 6 Buyers'!$D$32="--Select--","",IF(L77&lt;'Decision Tool 6 Buyers'!$C$32,0,IF('Decision Tool 6 Buyers'!$D$32="$ per bushel",('Decision Tool 6 Buyers'!$F$32*((L77*100)-('Decision Tool 6 Buyers'!$C$32*100))),IF('Decision Tool 6 Buyers'!$D$32="% of weight/price",('Decision Tool 6 Buyers'!$F$32*'Decision Tool 6 Buyers'!$E$23)*((L77*100)-('Decision Tool 6 Buyers'!$C$32*100)),IF('Decision Tool 6 Buyers'!$D$32="Shrink + Dry",(('Decision Tool 6 Buyers'!$F$32*'Decision Tool 6 Buyers'!$E$23)+'Decision Tool 6 Buyers'!$H$32)*((L77*100)-('Decision Tool 6 Buyers'!$C$32*100)))))))</f>
        <v>0.28750000000000003</v>
      </c>
    </row>
    <row r="78" spans="2:13" x14ac:dyDescent="0.25">
      <c r="B78" s="158">
        <v>0.27</v>
      </c>
      <c r="C78" s="93">
        <f>IF('Decision Tool 6 Buyers'!$D$27="--Select--","",IF(B78&lt;'Decision Tool 6 Buyers'!$C$27,0,IF('Decision Tool 6 Buyers'!$D$27="$ per bushel",('Decision Tool 6 Buyers'!$F$27*((B78*100)-('Decision Tool 6 Buyers'!$C$27*100))),IF('Decision Tool 6 Buyers'!$D$27="% of weight/price",('Decision Tool 6 Buyers'!$F$27*'Decision Tool 6 Buyers'!$E$18)*((B78*100)-('Decision Tool 6 Buyers'!$C$27*100)),IF('Decision Tool 6 Buyers'!$D$27="Shrink + Dry",(('Decision Tool 6 Buyers'!$F$27*'Decision Tool 6 Buyers'!$E$18)+'Decision Tool 6 Buyers'!$H$27)*((B78*100)-('Decision Tool 6 Buyers'!$C$27*100)))))))</f>
        <v>1.0741000000000001</v>
      </c>
      <c r="D78" s="159">
        <v>0.27</v>
      </c>
      <c r="E78" s="93">
        <f>IF('Decision Tool 6 Buyers'!$D$28="--Select--","",IF(D78&lt;'Decision Tool 6 Buyers'!$C$28,0,IF('Decision Tool 6 Buyers'!$D$28="$ per bushel",('Decision Tool 6 Buyers'!$F$28*((D78*100)-('Decision Tool 6 Buyers'!$C$28*100))),IF('Decision Tool 6 Buyers'!$D$28="% of weight/price",('Decision Tool 6 Buyers'!$F$28*'Decision Tool 6 Buyers'!$E$19)*((D78*100)-('Decision Tool 6 Buyers'!$C$28*100)),IF('Decision Tool 6 Buyers'!$D$28="Shrink + Dry",(('Decision Tool 6 Buyers'!$F$28*'Decision Tool 6 Buyers'!$E$19)+'Decision Tool 6 Buyers'!$H$28)*((D78*100)-('Decision Tool 6 Buyers'!$C$28*100)))))))</f>
        <v>1.2500000000000002</v>
      </c>
      <c r="F78" s="159">
        <v>0.27</v>
      </c>
      <c r="G78" s="93">
        <f>IF('Decision Tool 6 Buyers'!$D$29="--Select--","",IF(F78&lt;'Decision Tool 6 Buyers'!$C$29,0,IF('Decision Tool 6 Buyers'!$D$29="$ per bushel",('Decision Tool 6 Buyers'!$F$29*((F78*100)-('Decision Tool 6 Buyers'!$C$29*100))),IF('Decision Tool 6 Buyers'!$D$29="% of weight/price",('Decision Tool 6 Buyers'!$F$29*'Decision Tool 6 Buyers'!$E$20)*((F78*100)-('Decision Tool 6 Buyers'!$C$29*100)),IF('Decision Tool 6 Buyers'!$D$29="Shrink + Dry",(('Decision Tool 6 Buyers'!$F$29*'Decision Tool 6 Buyers'!$E$20)+'Decision Tool 6 Buyers'!$H$29)*((F78*100)-('Decision Tool 6 Buyers'!$C$29*100)))))))</f>
        <v>0.80599999999999994</v>
      </c>
      <c r="H78" s="159">
        <v>0.27</v>
      </c>
      <c r="I78" s="93">
        <f>IF('Decision Tool 6 Buyers'!$D$30="--Select--","",IF(H78&lt;'Decision Tool 6 Buyers'!$C$30,0,IF('Decision Tool 6 Buyers'!$D$30="$ per bushel",('Decision Tool 6 Buyers'!$F$30*((H78*100)-('Decision Tool 6 Buyers'!$C$30*100))),IF('Decision Tool 6 Buyers'!$D$30="% of weight/price",('Decision Tool 6 Buyers'!$F$30*'Decision Tool 6 Buyers'!$E$21)*((H78*100)-('Decision Tool 6 Buyers'!$C$30*100)),IF('Decision Tool 6 Buyers'!$D$30="Shrink + Dry",(('Decision Tool 6 Buyers'!$F$30*'Decision Tool 6 Buyers'!$E$21)+'Decision Tool 6 Buyers'!$H$30)*((H78*100)-('Decision Tool 6 Buyers'!$C$30*100)))))))</f>
        <v>0.74400000000000011</v>
      </c>
      <c r="J78" s="159">
        <v>0.27</v>
      </c>
      <c r="K78" s="93">
        <f>IF('Decision Tool 6 Buyers'!$D$31="--Select--","",IF(J78&lt;'Decision Tool 6 Buyers'!$C$31,0,IF('Decision Tool 6 Buyers'!$D$31="$ per bushel",('Decision Tool 6 Buyers'!$F$31*((J78*100)-('Decision Tool 6 Buyers'!$C$31*100))),IF('Decision Tool 6 Buyers'!$D$31="% of weight/price",('Decision Tool 6 Buyers'!$F$31*'Decision Tool 6 Buyers'!$E$22)*((J78*100)-('Decision Tool 6 Buyers'!$C$31*100)),IF('Decision Tool 6 Buyers'!$D$31="Shrink + Dry",(('Decision Tool 6 Buyers'!$F$31*'Decision Tool 6 Buyers'!$E$22)+'Decision Tool 6 Buyers'!$H$31)*((J78*100)-('Decision Tool 6 Buyers'!$C$31*100)))))))</f>
        <v>0.18750000000000003</v>
      </c>
      <c r="L78" s="159">
        <v>0.27</v>
      </c>
      <c r="M78" s="96">
        <f>IF('Decision Tool 6 Buyers'!$D$32="--Select--","",IF(L78&lt;'Decision Tool 6 Buyers'!$C$32,0,IF('Decision Tool 6 Buyers'!$D$32="$ per bushel",('Decision Tool 6 Buyers'!$F$32*((L78*100)-('Decision Tool 6 Buyers'!$C$32*100))),IF('Decision Tool 6 Buyers'!$D$32="% of weight/price",('Decision Tool 6 Buyers'!$F$32*'Decision Tool 6 Buyers'!$E$23)*((L78*100)-('Decision Tool 6 Buyers'!$C$32*100)),IF('Decision Tool 6 Buyers'!$D$32="Shrink + Dry",(('Decision Tool 6 Buyers'!$F$32*'Decision Tool 6 Buyers'!$E$23)+'Decision Tool 6 Buyers'!$H$32)*((L78*100)-('Decision Tool 6 Buyers'!$C$32*100)))))))</f>
        <v>0.30000000000000004</v>
      </c>
    </row>
    <row r="79" spans="2:13" x14ac:dyDescent="0.25">
      <c r="B79" s="156">
        <v>0.27500000000000002</v>
      </c>
      <c r="C79" s="94">
        <f>IF('Decision Tool 6 Buyers'!$D$27="--Select--","",IF(B79&lt;'Decision Tool 6 Buyers'!$C$27,0,IF('Decision Tool 6 Buyers'!$D$27="$ per bushel",('Decision Tool 6 Buyers'!$F$27*((B79*100)-('Decision Tool 6 Buyers'!$C$27*100))),IF('Decision Tool 6 Buyers'!$D$27="% of weight/price",('Decision Tool 6 Buyers'!$F$27*'Decision Tool 6 Buyers'!$E$18)*((B79*100)-('Decision Tool 6 Buyers'!$C$27*100)),IF('Decision Tool 6 Buyers'!$D$27="Shrink + Dry",(('Decision Tool 6 Buyers'!$F$27*'Decision Tool 6 Buyers'!$E$18)+'Decision Tool 6 Buyers'!$H$27)*((B79*100)-('Decision Tool 6 Buyers'!$C$27*100)))))))</f>
        <v>1.1208000000000005</v>
      </c>
      <c r="D79" s="157">
        <v>0.27500000000000002</v>
      </c>
      <c r="E79" s="94">
        <f>IF('Decision Tool 6 Buyers'!$D$28="--Select--","",IF(D79&lt;'Decision Tool 6 Buyers'!$C$28,0,IF('Decision Tool 6 Buyers'!$D$28="$ per bushel",('Decision Tool 6 Buyers'!$F$28*((D79*100)-('Decision Tool 6 Buyers'!$C$28*100))),IF('Decision Tool 6 Buyers'!$D$28="% of weight/price",('Decision Tool 6 Buyers'!$F$28*'Decision Tool 6 Buyers'!$E$19)*((D79*100)-('Decision Tool 6 Buyers'!$C$28*100)),IF('Decision Tool 6 Buyers'!$D$28="Shrink + Dry",(('Decision Tool 6 Buyers'!$F$28*'Decision Tool 6 Buyers'!$E$19)+'Decision Tool 6 Buyers'!$H$28)*((D79*100)-('Decision Tool 6 Buyers'!$C$28*100)))))))</f>
        <v>1.3000000000000007</v>
      </c>
      <c r="F79" s="157">
        <v>0.27500000000000002</v>
      </c>
      <c r="G79" s="94">
        <f>IF('Decision Tool 6 Buyers'!$D$29="--Select--","",IF(F79&lt;'Decision Tool 6 Buyers'!$C$29,0,IF('Decision Tool 6 Buyers'!$D$29="$ per bushel",('Decision Tool 6 Buyers'!$F$29*((F79*100)-('Decision Tool 6 Buyers'!$C$29*100))),IF('Decision Tool 6 Buyers'!$D$29="% of weight/price",('Decision Tool 6 Buyers'!$F$29*'Decision Tool 6 Buyers'!$E$20)*((F79*100)-('Decision Tool 6 Buyers'!$C$29*100)),IF('Decision Tool 6 Buyers'!$D$29="Shrink + Dry",(('Decision Tool 6 Buyers'!$F$29*'Decision Tool 6 Buyers'!$E$20)+'Decision Tool 6 Buyers'!$H$29)*((F79*100)-('Decision Tool 6 Buyers'!$C$29*100)))))))</f>
        <v>0.83700000000000019</v>
      </c>
      <c r="H79" s="157">
        <v>0.27500000000000002</v>
      </c>
      <c r="I79" s="94">
        <f>IF('Decision Tool 6 Buyers'!$D$30="--Select--","",IF(H79&lt;'Decision Tool 6 Buyers'!$C$30,0,IF('Decision Tool 6 Buyers'!$D$30="$ per bushel",('Decision Tool 6 Buyers'!$F$30*((H79*100)-('Decision Tool 6 Buyers'!$C$30*100))),IF('Decision Tool 6 Buyers'!$D$30="% of weight/price",('Decision Tool 6 Buyers'!$F$30*'Decision Tool 6 Buyers'!$E$21)*((H79*100)-('Decision Tool 6 Buyers'!$C$30*100)),IF('Decision Tool 6 Buyers'!$D$30="Shrink + Dry",(('Decision Tool 6 Buyers'!$F$30*'Decision Tool 6 Buyers'!$E$21)+'Decision Tool 6 Buyers'!$H$30)*((H79*100)-('Decision Tool 6 Buyers'!$C$30*100)))))))</f>
        <v>0.77500000000000036</v>
      </c>
      <c r="J79" s="157">
        <v>0.27500000000000002</v>
      </c>
      <c r="K79" s="94">
        <f>IF('Decision Tool 6 Buyers'!$D$31="--Select--","",IF(J79&lt;'Decision Tool 6 Buyers'!$C$31,0,IF('Decision Tool 6 Buyers'!$D$31="$ per bushel",('Decision Tool 6 Buyers'!$F$31*((J79*100)-('Decision Tool 6 Buyers'!$C$31*100))),IF('Decision Tool 6 Buyers'!$D$31="% of weight/price",('Decision Tool 6 Buyers'!$F$31*'Decision Tool 6 Buyers'!$E$22)*((J79*100)-('Decision Tool 6 Buyers'!$C$31*100)),IF('Decision Tool 6 Buyers'!$D$31="Shrink + Dry",(('Decision Tool 6 Buyers'!$F$31*'Decision Tool 6 Buyers'!$E$22)+'Decision Tool 6 Buyers'!$H$31)*((J79*100)-('Decision Tool 6 Buyers'!$C$31*100)))))))</f>
        <v>0.19500000000000006</v>
      </c>
      <c r="L79" s="157">
        <v>0.27500000000000002</v>
      </c>
      <c r="M79" s="97">
        <f>IF('Decision Tool 6 Buyers'!$D$32="--Select--","",IF(L79&lt;'Decision Tool 6 Buyers'!$C$32,0,IF('Decision Tool 6 Buyers'!$D$32="$ per bushel",('Decision Tool 6 Buyers'!$F$32*((L79*100)-('Decision Tool 6 Buyers'!$C$32*100))),IF('Decision Tool 6 Buyers'!$D$32="% of weight/price",('Decision Tool 6 Buyers'!$F$32*'Decision Tool 6 Buyers'!$E$23)*((L79*100)-('Decision Tool 6 Buyers'!$C$32*100)),IF('Decision Tool 6 Buyers'!$D$32="Shrink + Dry",(('Decision Tool 6 Buyers'!$F$32*'Decision Tool 6 Buyers'!$E$23)+'Decision Tool 6 Buyers'!$H$32)*((L79*100)-('Decision Tool 6 Buyers'!$C$32*100)))))))</f>
        <v>0.31250000000000011</v>
      </c>
    </row>
    <row r="80" spans="2:13" x14ac:dyDescent="0.25">
      <c r="B80" s="158">
        <v>0.28000000000000003</v>
      </c>
      <c r="C80" s="93">
        <f>IF('Decision Tool 6 Buyers'!$D$27="--Select--","",IF(B80&lt;'Decision Tool 6 Buyers'!$C$27,0,IF('Decision Tool 6 Buyers'!$D$27="$ per bushel",('Decision Tool 6 Buyers'!$F$27*((B80*100)-('Decision Tool 6 Buyers'!$C$27*100))),IF('Decision Tool 6 Buyers'!$D$27="% of weight/price",('Decision Tool 6 Buyers'!$F$27*'Decision Tool 6 Buyers'!$E$18)*((B80*100)-('Decision Tool 6 Buyers'!$C$27*100)),IF('Decision Tool 6 Buyers'!$D$27="Shrink + Dry",(('Decision Tool 6 Buyers'!$F$27*'Decision Tool 6 Buyers'!$E$18)+'Decision Tool 6 Buyers'!$H$27)*((B80*100)-('Decision Tool 6 Buyers'!$C$27*100)))))))</f>
        <v>1.1675000000000004</v>
      </c>
      <c r="D80" s="159">
        <v>0.28000000000000003</v>
      </c>
      <c r="E80" s="93">
        <f>IF('Decision Tool 6 Buyers'!$D$28="--Select--","",IF(D80&lt;'Decision Tool 6 Buyers'!$C$28,0,IF('Decision Tool 6 Buyers'!$D$28="$ per bushel",('Decision Tool 6 Buyers'!$F$28*((D80*100)-('Decision Tool 6 Buyers'!$C$28*100))),IF('Decision Tool 6 Buyers'!$D$28="% of weight/price",('Decision Tool 6 Buyers'!$F$28*'Decision Tool 6 Buyers'!$E$19)*((D80*100)-('Decision Tool 6 Buyers'!$C$28*100)),IF('Decision Tool 6 Buyers'!$D$28="Shrink + Dry",(('Decision Tool 6 Buyers'!$F$28*'Decision Tool 6 Buyers'!$E$19)+'Decision Tool 6 Buyers'!$H$28)*((D80*100)-('Decision Tool 6 Buyers'!$C$28*100)))))))</f>
        <v>1.3500000000000005</v>
      </c>
      <c r="F80" s="159">
        <v>0.28000000000000003</v>
      </c>
      <c r="G80" s="93">
        <f>IF('Decision Tool 6 Buyers'!$D$29="--Select--","",IF(F80&lt;'Decision Tool 6 Buyers'!$C$29,0,IF('Decision Tool 6 Buyers'!$D$29="$ per bushel",('Decision Tool 6 Buyers'!$F$29*((F80*100)-('Decision Tool 6 Buyers'!$C$29*100))),IF('Decision Tool 6 Buyers'!$D$29="% of weight/price",('Decision Tool 6 Buyers'!$F$29*'Decision Tool 6 Buyers'!$E$20)*((F80*100)-('Decision Tool 6 Buyers'!$C$29*100)),IF('Decision Tool 6 Buyers'!$D$29="Shrink + Dry",(('Decision Tool 6 Buyers'!$F$29*'Decision Tool 6 Buyers'!$E$20)+'Decision Tool 6 Buyers'!$H$29)*((F80*100)-('Decision Tool 6 Buyers'!$C$29*100)))))))</f>
        <v>0.86800000000000022</v>
      </c>
      <c r="H80" s="159">
        <v>0.28000000000000003</v>
      </c>
      <c r="I80" s="93">
        <f>IF('Decision Tool 6 Buyers'!$D$30="--Select--","",IF(H80&lt;'Decision Tool 6 Buyers'!$C$30,0,IF('Decision Tool 6 Buyers'!$D$30="$ per bushel",('Decision Tool 6 Buyers'!$F$30*((H80*100)-('Decision Tool 6 Buyers'!$C$30*100))),IF('Decision Tool 6 Buyers'!$D$30="% of weight/price",('Decision Tool 6 Buyers'!$F$30*'Decision Tool 6 Buyers'!$E$21)*((H80*100)-('Decision Tool 6 Buyers'!$C$30*100)),IF('Decision Tool 6 Buyers'!$D$30="Shrink + Dry",(('Decision Tool 6 Buyers'!$F$30*'Decision Tool 6 Buyers'!$E$21)+'Decision Tool 6 Buyers'!$H$30)*((H80*100)-('Decision Tool 6 Buyers'!$C$30*100)))))))</f>
        <v>0.80600000000000027</v>
      </c>
      <c r="J80" s="159">
        <v>0.28000000000000003</v>
      </c>
      <c r="K80" s="93">
        <f>IF('Decision Tool 6 Buyers'!$D$31="--Select--","",IF(J80&lt;'Decision Tool 6 Buyers'!$C$31,0,IF('Decision Tool 6 Buyers'!$D$31="$ per bushel",('Decision Tool 6 Buyers'!$F$31*((J80*100)-('Decision Tool 6 Buyers'!$C$31*100))),IF('Decision Tool 6 Buyers'!$D$31="% of weight/price",('Decision Tool 6 Buyers'!$F$31*'Decision Tool 6 Buyers'!$E$22)*((J80*100)-('Decision Tool 6 Buyers'!$C$31*100)),IF('Decision Tool 6 Buyers'!$D$31="Shrink + Dry",(('Decision Tool 6 Buyers'!$F$31*'Decision Tool 6 Buyers'!$E$22)+'Decision Tool 6 Buyers'!$H$31)*((J80*100)-('Decision Tool 6 Buyers'!$C$31*100)))))))</f>
        <v>0.20250000000000007</v>
      </c>
      <c r="L80" s="159">
        <v>0.28000000000000003</v>
      </c>
      <c r="M80" s="96">
        <f>IF('Decision Tool 6 Buyers'!$D$32="--Select--","",IF(L80&lt;'Decision Tool 6 Buyers'!$C$32,0,IF('Decision Tool 6 Buyers'!$D$32="$ per bushel",('Decision Tool 6 Buyers'!$F$32*((L80*100)-('Decision Tool 6 Buyers'!$C$32*100))),IF('Decision Tool 6 Buyers'!$D$32="% of weight/price",('Decision Tool 6 Buyers'!$F$32*'Decision Tool 6 Buyers'!$E$23)*((L80*100)-('Decision Tool 6 Buyers'!$C$32*100)),IF('Decision Tool 6 Buyers'!$D$32="Shrink + Dry",(('Decision Tool 6 Buyers'!$F$32*'Decision Tool 6 Buyers'!$E$23)+'Decision Tool 6 Buyers'!$H$32)*((L80*100)-('Decision Tool 6 Buyers'!$C$32*100)))))))</f>
        <v>0.32500000000000012</v>
      </c>
    </row>
    <row r="81" spans="2:13" x14ac:dyDescent="0.25">
      <c r="B81" s="156">
        <v>0.28499999999999998</v>
      </c>
      <c r="C81" s="94">
        <f>IF('Decision Tool 6 Buyers'!$D$27="--Select--","",IF(B81&lt;'Decision Tool 6 Buyers'!$C$27,0,IF('Decision Tool 6 Buyers'!$D$27="$ per bushel",('Decision Tool 6 Buyers'!$F$27*((B81*100)-('Decision Tool 6 Buyers'!$C$27*100))),IF('Decision Tool 6 Buyers'!$D$27="% of weight/price",('Decision Tool 6 Buyers'!$F$27*'Decision Tool 6 Buyers'!$E$18)*((B81*100)-('Decision Tool 6 Buyers'!$C$27*100)),IF('Decision Tool 6 Buyers'!$D$27="Shrink + Dry",(('Decision Tool 6 Buyers'!$F$27*'Decision Tool 6 Buyers'!$E$18)+'Decision Tool 6 Buyers'!$H$27)*((B81*100)-('Decision Tool 6 Buyers'!$C$27*100)))))))</f>
        <v>1.2141999999999997</v>
      </c>
      <c r="D81" s="157">
        <v>0.28499999999999998</v>
      </c>
      <c r="E81" s="94">
        <f>IF('Decision Tool 6 Buyers'!$D$28="--Select--","",IF(D81&lt;'Decision Tool 6 Buyers'!$C$28,0,IF('Decision Tool 6 Buyers'!$D$28="$ per bushel",('Decision Tool 6 Buyers'!$F$28*((D81*100)-('Decision Tool 6 Buyers'!$C$28*100))),IF('Decision Tool 6 Buyers'!$D$28="% of weight/price",('Decision Tool 6 Buyers'!$F$28*'Decision Tool 6 Buyers'!$E$19)*((D81*100)-('Decision Tool 6 Buyers'!$C$28*100)),IF('Decision Tool 6 Buyers'!$D$28="Shrink + Dry",(('Decision Tool 6 Buyers'!$F$28*'Decision Tool 6 Buyers'!$E$19)+'Decision Tool 6 Buyers'!$H$28)*((D81*100)-('Decision Tool 6 Buyers'!$C$28*100)))))))</f>
        <v>1.4</v>
      </c>
      <c r="F81" s="157">
        <v>0.28499999999999998</v>
      </c>
      <c r="G81" s="94">
        <f>IF('Decision Tool 6 Buyers'!$D$29="--Select--","",IF(F81&lt;'Decision Tool 6 Buyers'!$C$29,0,IF('Decision Tool 6 Buyers'!$D$29="$ per bushel",('Decision Tool 6 Buyers'!$F$29*((F81*100)-('Decision Tool 6 Buyers'!$C$29*100))),IF('Decision Tool 6 Buyers'!$D$29="% of weight/price",('Decision Tool 6 Buyers'!$F$29*'Decision Tool 6 Buyers'!$E$20)*((F81*100)-('Decision Tool 6 Buyers'!$C$29*100)),IF('Decision Tool 6 Buyers'!$D$29="Shrink + Dry",(('Decision Tool 6 Buyers'!$F$29*'Decision Tool 6 Buyers'!$E$20)+'Decision Tool 6 Buyers'!$H$29)*((F81*100)-('Decision Tool 6 Buyers'!$C$29*100)))))))</f>
        <v>0.8989999999999998</v>
      </c>
      <c r="H81" s="157">
        <v>0.28499999999999998</v>
      </c>
      <c r="I81" s="94">
        <f>IF('Decision Tool 6 Buyers'!$D$30="--Select--","",IF(H81&lt;'Decision Tool 6 Buyers'!$C$30,0,IF('Decision Tool 6 Buyers'!$D$30="$ per bushel",('Decision Tool 6 Buyers'!$F$30*((H81*100)-('Decision Tool 6 Buyers'!$C$30*100))),IF('Decision Tool 6 Buyers'!$D$30="% of weight/price",('Decision Tool 6 Buyers'!$F$30*'Decision Tool 6 Buyers'!$E$21)*((H81*100)-('Decision Tool 6 Buyers'!$C$30*100)),IF('Decision Tool 6 Buyers'!$D$30="Shrink + Dry",(('Decision Tool 6 Buyers'!$F$30*'Decision Tool 6 Buyers'!$E$21)+'Decision Tool 6 Buyers'!$H$30)*((H81*100)-('Decision Tool 6 Buyers'!$C$30*100)))))))</f>
        <v>0.83699999999999986</v>
      </c>
      <c r="J81" s="157">
        <v>0.28499999999999998</v>
      </c>
      <c r="K81" s="94">
        <f>IF('Decision Tool 6 Buyers'!$D$31="--Select--","",IF(J81&lt;'Decision Tool 6 Buyers'!$C$31,0,IF('Decision Tool 6 Buyers'!$D$31="$ per bushel",('Decision Tool 6 Buyers'!$F$31*((J81*100)-('Decision Tool 6 Buyers'!$C$31*100))),IF('Decision Tool 6 Buyers'!$D$31="% of weight/price",('Decision Tool 6 Buyers'!$F$31*'Decision Tool 6 Buyers'!$E$22)*((J81*100)-('Decision Tool 6 Buyers'!$C$31*100)),IF('Decision Tool 6 Buyers'!$D$31="Shrink + Dry",(('Decision Tool 6 Buyers'!$F$31*'Decision Tool 6 Buyers'!$E$22)+'Decision Tool 6 Buyers'!$H$31)*((J81*100)-('Decision Tool 6 Buyers'!$C$31*100)))))))</f>
        <v>0.20999999999999996</v>
      </c>
      <c r="L81" s="157">
        <v>0.28499999999999998</v>
      </c>
      <c r="M81" s="97">
        <f>IF('Decision Tool 6 Buyers'!$D$32="--Select--","",IF(L81&lt;'Decision Tool 6 Buyers'!$C$32,0,IF('Decision Tool 6 Buyers'!$D$32="$ per bushel",('Decision Tool 6 Buyers'!$F$32*((L81*100)-('Decision Tool 6 Buyers'!$C$32*100))),IF('Decision Tool 6 Buyers'!$D$32="% of weight/price",('Decision Tool 6 Buyers'!$F$32*'Decision Tool 6 Buyers'!$E$23)*((L81*100)-('Decision Tool 6 Buyers'!$C$32*100)),IF('Decision Tool 6 Buyers'!$D$32="Shrink + Dry",(('Decision Tool 6 Buyers'!$F$32*'Decision Tool 6 Buyers'!$E$23)+'Decision Tool 6 Buyers'!$H$32)*((L81*100)-('Decision Tool 6 Buyers'!$C$32*100)))))))</f>
        <v>0.33749999999999991</v>
      </c>
    </row>
    <row r="82" spans="2:13" x14ac:dyDescent="0.25">
      <c r="B82" s="158">
        <v>0.28999999999999998</v>
      </c>
      <c r="C82" s="93">
        <f>IF('Decision Tool 6 Buyers'!$D$27="--Select--","",IF(B82&lt;'Decision Tool 6 Buyers'!$C$27,0,IF('Decision Tool 6 Buyers'!$D$27="$ per bushel",('Decision Tool 6 Buyers'!$F$27*((B82*100)-('Decision Tool 6 Buyers'!$C$27*100))),IF('Decision Tool 6 Buyers'!$D$27="% of weight/price",('Decision Tool 6 Buyers'!$F$27*'Decision Tool 6 Buyers'!$E$18)*((B82*100)-('Decision Tool 6 Buyers'!$C$27*100)),IF('Decision Tool 6 Buyers'!$D$27="Shrink + Dry",(('Decision Tool 6 Buyers'!$F$27*'Decision Tool 6 Buyers'!$E$18)+'Decision Tool 6 Buyers'!$H$27)*((B82*100)-('Decision Tool 6 Buyers'!$C$27*100)))))))</f>
        <v>1.2608999999999999</v>
      </c>
      <c r="D82" s="159">
        <v>0.28999999999999998</v>
      </c>
      <c r="E82" s="93">
        <f>IF('Decision Tool 6 Buyers'!$D$28="--Select--","",IF(D82&lt;'Decision Tool 6 Buyers'!$C$28,0,IF('Decision Tool 6 Buyers'!$D$28="$ per bushel",('Decision Tool 6 Buyers'!$F$28*((D82*100)-('Decision Tool 6 Buyers'!$C$28*100))),IF('Decision Tool 6 Buyers'!$D$28="% of weight/price",('Decision Tool 6 Buyers'!$F$28*'Decision Tool 6 Buyers'!$E$19)*((D82*100)-('Decision Tool 6 Buyers'!$C$28*100)),IF('Decision Tool 6 Buyers'!$D$28="Shrink + Dry",(('Decision Tool 6 Buyers'!$F$28*'Decision Tool 6 Buyers'!$E$19)+'Decision Tool 6 Buyers'!$H$28)*((D82*100)-('Decision Tool 6 Buyers'!$C$28*100)))))))</f>
        <v>1.45</v>
      </c>
      <c r="F82" s="159">
        <v>0.28999999999999998</v>
      </c>
      <c r="G82" s="93">
        <f>IF('Decision Tool 6 Buyers'!$D$29="--Select--","",IF(F82&lt;'Decision Tool 6 Buyers'!$C$29,0,IF('Decision Tool 6 Buyers'!$D$29="$ per bushel",('Decision Tool 6 Buyers'!$F$29*((F82*100)-('Decision Tool 6 Buyers'!$C$29*100))),IF('Decision Tool 6 Buyers'!$D$29="% of weight/price",('Decision Tool 6 Buyers'!$F$29*'Decision Tool 6 Buyers'!$E$20)*((F82*100)-('Decision Tool 6 Buyers'!$C$29*100)),IF('Decision Tool 6 Buyers'!$D$29="Shrink + Dry",(('Decision Tool 6 Buyers'!$F$29*'Decision Tool 6 Buyers'!$E$20)+'Decision Tool 6 Buyers'!$H$29)*((F82*100)-('Decision Tool 6 Buyers'!$C$29*100)))))))</f>
        <v>0.92999999999999972</v>
      </c>
      <c r="H82" s="159">
        <v>0.28999999999999998</v>
      </c>
      <c r="I82" s="93">
        <f>IF('Decision Tool 6 Buyers'!$D$30="--Select--","",IF(H82&lt;'Decision Tool 6 Buyers'!$C$30,0,IF('Decision Tool 6 Buyers'!$D$30="$ per bushel",('Decision Tool 6 Buyers'!$F$30*((H82*100)-('Decision Tool 6 Buyers'!$C$30*100))),IF('Decision Tool 6 Buyers'!$D$30="% of weight/price",('Decision Tool 6 Buyers'!$F$30*'Decision Tool 6 Buyers'!$E$21)*((H82*100)-('Decision Tool 6 Buyers'!$C$30*100)),IF('Decision Tool 6 Buyers'!$D$30="Shrink + Dry",(('Decision Tool 6 Buyers'!$F$30*'Decision Tool 6 Buyers'!$E$21)+'Decision Tool 6 Buyers'!$H$30)*((H82*100)-('Decision Tool 6 Buyers'!$C$30*100)))))))</f>
        <v>0.86799999999999988</v>
      </c>
      <c r="J82" s="159">
        <v>0.28999999999999998</v>
      </c>
      <c r="K82" s="93">
        <f>IF('Decision Tool 6 Buyers'!$D$31="--Select--","",IF(J82&lt;'Decision Tool 6 Buyers'!$C$31,0,IF('Decision Tool 6 Buyers'!$D$31="$ per bushel",('Decision Tool 6 Buyers'!$F$31*((J82*100)-('Decision Tool 6 Buyers'!$C$31*100))),IF('Decision Tool 6 Buyers'!$D$31="% of weight/price",('Decision Tool 6 Buyers'!$F$31*'Decision Tool 6 Buyers'!$E$22)*((J82*100)-('Decision Tool 6 Buyers'!$C$31*100)),IF('Decision Tool 6 Buyers'!$D$31="Shrink + Dry",(('Decision Tool 6 Buyers'!$F$31*'Decision Tool 6 Buyers'!$E$22)+'Decision Tool 6 Buyers'!$H$31)*((J82*100)-('Decision Tool 6 Buyers'!$C$31*100)))))))</f>
        <v>0.21749999999999997</v>
      </c>
      <c r="L82" s="159">
        <v>0.28999999999999998</v>
      </c>
      <c r="M82" s="96">
        <f>IF('Decision Tool 6 Buyers'!$D$32="--Select--","",IF(L82&lt;'Decision Tool 6 Buyers'!$C$32,0,IF('Decision Tool 6 Buyers'!$D$32="$ per bushel",('Decision Tool 6 Buyers'!$F$32*((L82*100)-('Decision Tool 6 Buyers'!$C$32*100))),IF('Decision Tool 6 Buyers'!$D$32="% of weight/price",('Decision Tool 6 Buyers'!$F$32*'Decision Tool 6 Buyers'!$E$23)*((L82*100)-('Decision Tool 6 Buyers'!$C$32*100)),IF('Decision Tool 6 Buyers'!$D$32="Shrink + Dry",(('Decision Tool 6 Buyers'!$F$32*'Decision Tool 6 Buyers'!$E$23)+'Decision Tool 6 Buyers'!$H$32)*((L82*100)-('Decision Tool 6 Buyers'!$C$32*100)))))))</f>
        <v>0.34999999999999992</v>
      </c>
    </row>
    <row r="83" spans="2:13" x14ac:dyDescent="0.25">
      <c r="B83" s="156">
        <v>0.29499999999999998</v>
      </c>
      <c r="C83" s="94">
        <f>IF('Decision Tool 6 Buyers'!$D$27="--Select--","",IF(B83&lt;'Decision Tool 6 Buyers'!$C$27,0,IF('Decision Tool 6 Buyers'!$D$27="$ per bushel",('Decision Tool 6 Buyers'!$F$27*((B83*100)-('Decision Tool 6 Buyers'!$C$27*100))),IF('Decision Tool 6 Buyers'!$D$27="% of weight/price",('Decision Tool 6 Buyers'!$F$27*'Decision Tool 6 Buyers'!$E$18)*((B83*100)-('Decision Tool 6 Buyers'!$C$27*100)),IF('Decision Tool 6 Buyers'!$D$27="Shrink + Dry",(('Decision Tool 6 Buyers'!$F$27*'Decision Tool 6 Buyers'!$E$18)+'Decision Tool 6 Buyers'!$H$27)*((B83*100)-('Decision Tool 6 Buyers'!$C$27*100)))))))</f>
        <v>1.3076000000000001</v>
      </c>
      <c r="D83" s="157">
        <v>0.29499999999999998</v>
      </c>
      <c r="E83" s="94">
        <f>IF('Decision Tool 6 Buyers'!$D$28="--Select--","",IF(D83&lt;'Decision Tool 6 Buyers'!$C$28,0,IF('Decision Tool 6 Buyers'!$D$28="$ per bushel",('Decision Tool 6 Buyers'!$F$28*((D83*100)-('Decision Tool 6 Buyers'!$C$28*100))),IF('Decision Tool 6 Buyers'!$D$28="% of weight/price",('Decision Tool 6 Buyers'!$F$28*'Decision Tool 6 Buyers'!$E$19)*((D83*100)-('Decision Tool 6 Buyers'!$C$28*100)),IF('Decision Tool 6 Buyers'!$D$28="Shrink + Dry",(('Decision Tool 6 Buyers'!$F$28*'Decision Tool 6 Buyers'!$E$19)+'Decision Tool 6 Buyers'!$H$28)*((D83*100)-('Decision Tool 6 Buyers'!$C$28*100)))))))</f>
        <v>1.5000000000000002</v>
      </c>
      <c r="F83" s="157">
        <v>0.29499999999999998</v>
      </c>
      <c r="G83" s="94">
        <f>IF('Decision Tool 6 Buyers'!$D$29="--Select--","",IF(F83&lt;'Decision Tool 6 Buyers'!$C$29,0,IF('Decision Tool 6 Buyers'!$D$29="$ per bushel",('Decision Tool 6 Buyers'!$F$29*((F83*100)-('Decision Tool 6 Buyers'!$C$29*100))),IF('Decision Tool 6 Buyers'!$D$29="% of weight/price",('Decision Tool 6 Buyers'!$F$29*'Decision Tool 6 Buyers'!$E$20)*((F83*100)-('Decision Tool 6 Buyers'!$C$29*100)),IF('Decision Tool 6 Buyers'!$D$29="Shrink + Dry",(('Decision Tool 6 Buyers'!$F$29*'Decision Tool 6 Buyers'!$E$20)+'Decision Tool 6 Buyers'!$H$29)*((F83*100)-('Decision Tool 6 Buyers'!$C$29*100)))))))</f>
        <v>0.96099999999999997</v>
      </c>
      <c r="H83" s="157">
        <v>0.29499999999999998</v>
      </c>
      <c r="I83" s="94">
        <f>IF('Decision Tool 6 Buyers'!$D$30="--Select--","",IF(H83&lt;'Decision Tool 6 Buyers'!$C$30,0,IF('Decision Tool 6 Buyers'!$D$30="$ per bushel",('Decision Tool 6 Buyers'!$F$30*((H83*100)-('Decision Tool 6 Buyers'!$C$30*100))),IF('Decision Tool 6 Buyers'!$D$30="% of weight/price",('Decision Tool 6 Buyers'!$F$30*'Decision Tool 6 Buyers'!$E$21)*((H83*100)-('Decision Tool 6 Buyers'!$C$30*100)),IF('Decision Tool 6 Buyers'!$D$30="Shrink + Dry",(('Decision Tool 6 Buyers'!$F$30*'Decision Tool 6 Buyers'!$E$21)+'Decision Tool 6 Buyers'!$H$30)*((H83*100)-('Decision Tool 6 Buyers'!$C$30*100)))))))</f>
        <v>0.89900000000000013</v>
      </c>
      <c r="J83" s="157">
        <v>0.29499999999999998</v>
      </c>
      <c r="K83" s="94">
        <f>IF('Decision Tool 6 Buyers'!$D$31="--Select--","",IF(J83&lt;'Decision Tool 6 Buyers'!$C$31,0,IF('Decision Tool 6 Buyers'!$D$31="$ per bushel",('Decision Tool 6 Buyers'!$F$31*((J83*100)-('Decision Tool 6 Buyers'!$C$31*100))),IF('Decision Tool 6 Buyers'!$D$31="% of weight/price",('Decision Tool 6 Buyers'!$F$31*'Decision Tool 6 Buyers'!$E$22)*((J83*100)-('Decision Tool 6 Buyers'!$C$31*100)),IF('Decision Tool 6 Buyers'!$D$31="Shrink + Dry",(('Decision Tool 6 Buyers'!$F$31*'Decision Tool 6 Buyers'!$E$22)+'Decision Tool 6 Buyers'!$H$31)*((J83*100)-('Decision Tool 6 Buyers'!$C$31*100)))))))</f>
        <v>0.22500000000000001</v>
      </c>
      <c r="L83" s="157">
        <v>0.29499999999999998</v>
      </c>
      <c r="M83" s="97">
        <f>IF('Decision Tool 6 Buyers'!$D$32="--Select--","",IF(L83&lt;'Decision Tool 6 Buyers'!$C$32,0,IF('Decision Tool 6 Buyers'!$D$32="$ per bushel",('Decision Tool 6 Buyers'!$F$32*((L83*100)-('Decision Tool 6 Buyers'!$C$32*100))),IF('Decision Tool 6 Buyers'!$D$32="% of weight/price",('Decision Tool 6 Buyers'!$F$32*'Decision Tool 6 Buyers'!$E$23)*((L83*100)-('Decision Tool 6 Buyers'!$C$32*100)),IF('Decision Tool 6 Buyers'!$D$32="Shrink + Dry",(('Decision Tool 6 Buyers'!$F$32*'Decision Tool 6 Buyers'!$E$23)+'Decision Tool 6 Buyers'!$H$32)*((L83*100)-('Decision Tool 6 Buyers'!$C$32*100)))))))</f>
        <v>0.36250000000000004</v>
      </c>
    </row>
    <row r="84" spans="2:13" ht="15.75" thickBot="1" x14ac:dyDescent="0.3">
      <c r="B84" s="160">
        <v>0.3</v>
      </c>
      <c r="C84" s="95">
        <f>IF('Decision Tool 6 Buyers'!$D$27="--Select--","",IF(B84&lt;'Decision Tool 6 Buyers'!$C$27,0,IF('Decision Tool 6 Buyers'!$D$27="$ per bushel",('Decision Tool 6 Buyers'!$F$27*((B84*100)-('Decision Tool 6 Buyers'!$C$27*100))),IF('Decision Tool 6 Buyers'!$D$27="% of weight/price",('Decision Tool 6 Buyers'!$F$27*'Decision Tool 6 Buyers'!$E$18)*((B84*100)-('Decision Tool 6 Buyers'!$C$27*100)),IF('Decision Tool 6 Buyers'!$D$27="Shrink + Dry",(('Decision Tool 6 Buyers'!$F$27*'Decision Tool 6 Buyers'!$E$18)+'Decision Tool 6 Buyers'!$H$27)*((B84*100)-('Decision Tool 6 Buyers'!$C$27*100)))))))</f>
        <v>1.3543000000000001</v>
      </c>
      <c r="D84" s="161">
        <v>0.3</v>
      </c>
      <c r="E84" s="95">
        <f>IF('Decision Tool 6 Buyers'!$D$28="--Select--","",IF(D84&lt;'Decision Tool 6 Buyers'!$C$28,0,IF('Decision Tool 6 Buyers'!$D$28="$ per bushel",('Decision Tool 6 Buyers'!$F$28*((D84*100)-('Decision Tool 6 Buyers'!$C$28*100))),IF('Decision Tool 6 Buyers'!$D$28="% of weight/price",('Decision Tool 6 Buyers'!$F$28*'Decision Tool 6 Buyers'!$E$19)*((D84*100)-('Decision Tool 6 Buyers'!$C$28*100)),IF('Decision Tool 6 Buyers'!$D$28="Shrink + Dry",(('Decision Tool 6 Buyers'!$F$28*'Decision Tool 6 Buyers'!$E$19)+'Decision Tool 6 Buyers'!$H$28)*((D84*100)-('Decision Tool 6 Buyers'!$C$28*100)))))))</f>
        <v>1.5500000000000003</v>
      </c>
      <c r="F84" s="161">
        <v>0.3</v>
      </c>
      <c r="G84" s="95">
        <f>IF('Decision Tool 6 Buyers'!$D$29="--Select--","",IF(F84&lt;'Decision Tool 6 Buyers'!$C$29,0,IF('Decision Tool 6 Buyers'!$D$29="$ per bushel",('Decision Tool 6 Buyers'!$F$29*((F84*100)-('Decision Tool 6 Buyers'!$C$29*100))),IF('Decision Tool 6 Buyers'!$D$29="% of weight/price",('Decision Tool 6 Buyers'!$F$29*'Decision Tool 6 Buyers'!$E$20)*((F84*100)-('Decision Tool 6 Buyers'!$C$29*100)),IF('Decision Tool 6 Buyers'!$D$29="Shrink + Dry",(('Decision Tool 6 Buyers'!$F$29*'Decision Tool 6 Buyers'!$E$20)+'Decision Tool 6 Buyers'!$H$29)*((F84*100)-('Decision Tool 6 Buyers'!$C$29*100)))))))</f>
        <v>0.99199999999999999</v>
      </c>
      <c r="H84" s="161">
        <v>0.3</v>
      </c>
      <c r="I84" s="95">
        <f>IF('Decision Tool 6 Buyers'!$D$30="--Select--","",IF(H84&lt;'Decision Tool 6 Buyers'!$C$30,0,IF('Decision Tool 6 Buyers'!$D$30="$ per bushel",('Decision Tool 6 Buyers'!$F$30*((H84*100)-('Decision Tool 6 Buyers'!$C$30*100))),IF('Decision Tool 6 Buyers'!$D$30="% of weight/price",('Decision Tool 6 Buyers'!$F$30*'Decision Tool 6 Buyers'!$E$21)*((H84*100)-('Decision Tool 6 Buyers'!$C$30*100)),IF('Decision Tool 6 Buyers'!$D$30="Shrink + Dry",(('Decision Tool 6 Buyers'!$F$30*'Decision Tool 6 Buyers'!$E$21)+'Decision Tool 6 Buyers'!$H$30)*((H84*100)-('Decision Tool 6 Buyers'!$C$30*100)))))))</f>
        <v>0.93</v>
      </c>
      <c r="J84" s="161">
        <v>0.3</v>
      </c>
      <c r="K84" s="95">
        <f>IF('Decision Tool 6 Buyers'!$D$31="--Select--","",IF(J84&lt;'Decision Tool 6 Buyers'!$C$31,0,IF('Decision Tool 6 Buyers'!$D$31="$ per bushel",('Decision Tool 6 Buyers'!$F$31*((J84*100)-('Decision Tool 6 Buyers'!$C$31*100))),IF('Decision Tool 6 Buyers'!$D$31="% of weight/price",('Decision Tool 6 Buyers'!$F$31*'Decision Tool 6 Buyers'!$E$22)*((J84*100)-('Decision Tool 6 Buyers'!$C$31*100)),IF('Decision Tool 6 Buyers'!$D$31="Shrink + Dry",(('Decision Tool 6 Buyers'!$F$31*'Decision Tool 6 Buyers'!$E$22)+'Decision Tool 6 Buyers'!$H$31)*((J84*100)-('Decision Tool 6 Buyers'!$C$31*100)))))))</f>
        <v>0.23250000000000001</v>
      </c>
      <c r="L84" s="161">
        <v>0.3</v>
      </c>
      <c r="M84" s="98">
        <f>IF('Decision Tool 6 Buyers'!$D$32="--Select--","",IF(L84&lt;'Decision Tool 6 Buyers'!$C$32,0,IF('Decision Tool 6 Buyers'!$D$32="$ per bushel",('Decision Tool 6 Buyers'!$F$32*((L84*100)-('Decision Tool 6 Buyers'!$C$32*100))),IF('Decision Tool 6 Buyers'!$D$32="% of weight/price",('Decision Tool 6 Buyers'!$F$32*'Decision Tool 6 Buyers'!$E$23)*((L84*100)-('Decision Tool 6 Buyers'!$C$32*100)),IF('Decision Tool 6 Buyers'!$D$32="Shrink + Dry",(('Decision Tool 6 Buyers'!$F$32*'Decision Tool 6 Buyers'!$E$23)+'Decision Tool 6 Buyers'!$H$32)*((L84*100)-('Decision Tool 6 Buyers'!$C$32*100)))))))</f>
        <v>0.375</v>
      </c>
    </row>
  </sheetData>
  <sheetProtection algorithmName="SHA-512" hashValue="LZdK5Bpu44Io2XHk8g8+mTKjKGAK5VzINTEG6QrrAdllG9lpBPpRNm/hAePtnM906jnnv3riFdYXzn9c32u3AQ==" saltValue="H5eIZlwu50kJKRCURIK3Fg==" spinCount="100000" sheet="1" objects="1" scenarios="1"/>
  <mergeCells count="12">
    <mergeCell ref="J48:K48"/>
    <mergeCell ref="L48:M48"/>
    <mergeCell ref="B47:M47"/>
    <mergeCell ref="B48:C48"/>
    <mergeCell ref="D48:E48"/>
    <mergeCell ref="F48:G48"/>
    <mergeCell ref="H48:I48"/>
    <mergeCell ref="B7:G7"/>
    <mergeCell ref="B8:G8"/>
    <mergeCell ref="B9:C9"/>
    <mergeCell ref="D9:E9"/>
    <mergeCell ref="F9:G9"/>
  </mergeCells>
  <pageMargins left="0.7" right="0.7" top="0.75" bottom="0.75" header="0.3" footer="0.3"/>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8"/>
  <sheetViews>
    <sheetView workbookViewId="0">
      <selection activeCell="D38" sqref="D38"/>
    </sheetView>
  </sheetViews>
  <sheetFormatPr defaultRowHeight="15" x14ac:dyDescent="0.25"/>
  <cols>
    <col min="2" max="2" width="25.85546875" bestFit="1" customWidth="1"/>
    <col min="3" max="3" width="14.140625" bestFit="1" customWidth="1"/>
    <col min="4" max="4" width="15.42578125" customWidth="1"/>
    <col min="5" max="5" width="17.42578125" customWidth="1"/>
    <col min="6" max="6" width="17.7109375" customWidth="1"/>
    <col min="7" max="7" width="18.85546875" bestFit="1" customWidth="1"/>
    <col min="8" max="8" width="20.140625" bestFit="1" customWidth="1"/>
    <col min="9" max="9" width="14.140625" bestFit="1" customWidth="1"/>
    <col min="10" max="10" width="20.140625" bestFit="1" customWidth="1"/>
    <col min="13" max="13" width="20.140625" bestFit="1" customWidth="1"/>
  </cols>
  <sheetData>
    <row r="2" spans="2:10" x14ac:dyDescent="0.25">
      <c r="E2" s="5" t="s">
        <v>14</v>
      </c>
    </row>
    <row r="3" spans="2:10" x14ac:dyDescent="0.25">
      <c r="B3" s="5" t="s">
        <v>13</v>
      </c>
      <c r="C3" s="5"/>
      <c r="E3" t="s">
        <v>2</v>
      </c>
      <c r="F3" t="s">
        <v>10</v>
      </c>
      <c r="G3" t="s">
        <v>11</v>
      </c>
      <c r="H3" t="s">
        <v>1</v>
      </c>
      <c r="I3" t="s">
        <v>19</v>
      </c>
      <c r="J3" t="s">
        <v>12</v>
      </c>
    </row>
    <row r="4" spans="2:10" x14ac:dyDescent="0.25">
      <c r="B4" t="s">
        <v>4</v>
      </c>
      <c r="C4" s="8">
        <v>3</v>
      </c>
      <c r="E4">
        <v>1</v>
      </c>
      <c r="F4" s="9">
        <v>25</v>
      </c>
      <c r="G4" s="9">
        <v>12</v>
      </c>
      <c r="H4" s="15">
        <v>3.5</v>
      </c>
      <c r="I4" s="17">
        <v>0.15</v>
      </c>
      <c r="J4" s="9">
        <v>1</v>
      </c>
    </row>
    <row r="5" spans="2:10" x14ac:dyDescent="0.25">
      <c r="B5" t="s">
        <v>3</v>
      </c>
      <c r="C5" s="9">
        <v>950</v>
      </c>
      <c r="E5">
        <v>2</v>
      </c>
      <c r="F5" s="9">
        <v>10</v>
      </c>
      <c r="G5" s="9">
        <v>15</v>
      </c>
      <c r="H5" s="15">
        <v>3.57</v>
      </c>
      <c r="I5" s="17">
        <v>0.15</v>
      </c>
      <c r="J5" s="9">
        <v>2</v>
      </c>
    </row>
    <row r="6" spans="2:10" x14ac:dyDescent="0.25">
      <c r="B6" t="s">
        <v>5</v>
      </c>
      <c r="C6" s="8">
        <v>12.5</v>
      </c>
      <c r="E6">
        <v>3</v>
      </c>
      <c r="F6" s="9">
        <v>10</v>
      </c>
      <c r="G6" s="9">
        <v>10</v>
      </c>
      <c r="H6" s="15">
        <v>3.6</v>
      </c>
      <c r="I6" s="17">
        <v>0.15</v>
      </c>
      <c r="J6" s="9">
        <v>3</v>
      </c>
    </row>
    <row r="9" spans="2:10" x14ac:dyDescent="0.25">
      <c r="B9" s="5" t="s">
        <v>15</v>
      </c>
    </row>
    <row r="10" spans="2:10" x14ac:dyDescent="0.25">
      <c r="B10" s="7" t="s">
        <v>18</v>
      </c>
      <c r="C10" s="10">
        <v>0.16</v>
      </c>
    </row>
    <row r="11" spans="2:10" x14ac:dyDescent="0.25">
      <c r="B11" s="5"/>
      <c r="C11" s="9"/>
    </row>
    <row r="12" spans="2:10" x14ac:dyDescent="0.25">
      <c r="B12" t="s">
        <v>20</v>
      </c>
      <c r="C12" s="11">
        <v>0.04</v>
      </c>
    </row>
    <row r="13" spans="2:10" x14ac:dyDescent="0.25">
      <c r="B13" t="s">
        <v>21</v>
      </c>
      <c r="C13" s="12">
        <v>1.4E-2</v>
      </c>
    </row>
    <row r="14" spans="2:10" x14ac:dyDescent="0.25">
      <c r="B14" t="s">
        <v>22</v>
      </c>
      <c r="C14" s="9"/>
    </row>
    <row r="15" spans="2:10" x14ac:dyDescent="0.25">
      <c r="B15" s="6" t="s">
        <v>16</v>
      </c>
      <c r="C15" s="13">
        <v>1.7500000000000002E-2</v>
      </c>
    </row>
    <row r="16" spans="2:10" x14ac:dyDescent="0.25">
      <c r="B16" s="6" t="s">
        <v>17</v>
      </c>
      <c r="C16" s="14">
        <v>0.02</v>
      </c>
    </row>
    <row r="17" spans="2:6" x14ac:dyDescent="0.25">
      <c r="B17" s="6"/>
      <c r="C17" s="4"/>
    </row>
    <row r="18" spans="2:6" x14ac:dyDescent="0.25">
      <c r="B18" s="6"/>
      <c r="C18" s="4"/>
    </row>
    <row r="19" spans="2:6" x14ac:dyDescent="0.25">
      <c r="B19" s="6"/>
      <c r="C19" s="4"/>
    </row>
    <row r="20" spans="2:6" x14ac:dyDescent="0.25">
      <c r="B20" s="6"/>
      <c r="C20" s="4"/>
    </row>
    <row r="21" spans="2:6" ht="30" x14ac:dyDescent="0.25">
      <c r="B21" t="s">
        <v>0</v>
      </c>
      <c r="C21" s="3" t="s">
        <v>6</v>
      </c>
      <c r="D21" s="3" t="s">
        <v>7</v>
      </c>
      <c r="E21" s="3" t="s">
        <v>8</v>
      </c>
      <c r="F21" s="3" t="s">
        <v>9</v>
      </c>
    </row>
    <row r="22" spans="2:6" x14ac:dyDescent="0.25">
      <c r="B22">
        <v>1</v>
      </c>
      <c r="C22" s="4">
        <f>$C$4/6*F4*2/$C$5</f>
        <v>2.6315789473684209E-2</v>
      </c>
      <c r="D22" s="4">
        <f>(((F4/45)*2)+(G4/60))*$C$6/$C$5</f>
        <v>1.7251461988304094E-2</v>
      </c>
      <c r="E22" s="4">
        <f>IF(J4=1,($C$12*(($C$10*100)-(I4*100))),IF(J4=2,($C$13*H4)*(($C$10*100)-(I4*100)),IF(J4=3,(($C$15*H4)+$C$16)*(($C$10*100)-(I4*100)))))</f>
        <v>0.04</v>
      </c>
      <c r="F22" s="16">
        <f>H4-(SUM(C22:E22))</f>
        <v>3.4164327485380115</v>
      </c>
    </row>
    <row r="23" spans="2:6" x14ac:dyDescent="0.25">
      <c r="B23">
        <v>2</v>
      </c>
      <c r="C23" s="4">
        <f t="shared" ref="C23:C24" si="0">$C$4/6*F5*2/$C$5</f>
        <v>1.0526315789473684E-2</v>
      </c>
      <c r="D23" s="4">
        <f t="shared" ref="D23:D24" si="1">(((F5/45)*2)+(G5/60))*$C$6/$C$5</f>
        <v>9.1374269005847948E-3</v>
      </c>
      <c r="E23" s="4">
        <f>IF(J5=1,($C$12*(($C$10*100)-(I5*100))),IF(J5=2,($C$13*H5)*(($C$10*100)-(I5*100)),IF(J5=3,(($C$15*H5)+$C$16)*(($C$10*100)-(I5*100)))))</f>
        <v>4.9979999999999997E-2</v>
      </c>
      <c r="F23" s="16">
        <f t="shared" ref="F23:F24" si="2">H5-(SUM(C23:E23))</f>
        <v>3.5003562573099414</v>
      </c>
    </row>
    <row r="24" spans="2:6" x14ac:dyDescent="0.25">
      <c r="B24">
        <v>3</v>
      </c>
      <c r="C24" s="4">
        <f t="shared" si="0"/>
        <v>1.0526315789473684E-2</v>
      </c>
      <c r="D24" s="4">
        <f t="shared" si="1"/>
        <v>8.0409356725146194E-3</v>
      </c>
      <c r="E24" s="4">
        <f>IF(J6=1,($C$12*(($C$10*100)-(I6*100))),IF(J6=2,($C$13*H6)*(($C$10*100)-(I6*100)),IF(J6=3,(($C$15*H6)+$C$16)*(($C$10*100)-(I6*100)))))</f>
        <v>8.3000000000000018E-2</v>
      </c>
      <c r="F24" s="16">
        <f t="shared" si="2"/>
        <v>3.4984327485380118</v>
      </c>
    </row>
    <row r="34" spans="2:3" x14ac:dyDescent="0.25">
      <c r="C34" s="1"/>
    </row>
    <row r="38" spans="2:3" x14ac:dyDescent="0.25">
      <c r="B38" s="2"/>
    </row>
    <row r="39" spans="2:3" x14ac:dyDescent="0.25">
      <c r="B39" s="2"/>
    </row>
    <row r="41" spans="2:3" x14ac:dyDescent="0.25">
      <c r="B41" s="2"/>
    </row>
    <row r="42" spans="2:3" x14ac:dyDescent="0.25">
      <c r="B42" s="2"/>
    </row>
    <row r="44" spans="2:3" x14ac:dyDescent="0.25">
      <c r="B44" s="2"/>
    </row>
    <row r="45" spans="2:3" x14ac:dyDescent="0.25">
      <c r="B45" s="2"/>
    </row>
    <row r="47" spans="2:3" x14ac:dyDescent="0.25">
      <c r="B47" s="2"/>
    </row>
    <row r="48" spans="2:3" x14ac:dyDescent="0.25">
      <c r="B48" s="2"/>
    </row>
  </sheetData>
  <pageMargins left="0.7" right="0.7" top="0.75" bottom="0.75" header="0.3" footer="0.3"/>
  <pageSetup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7"/>
  <sheetViews>
    <sheetView workbookViewId="0"/>
  </sheetViews>
  <sheetFormatPr defaultRowHeight="15" x14ac:dyDescent="0.25"/>
  <cols>
    <col min="5" max="5" width="18.5703125" customWidth="1"/>
  </cols>
  <sheetData>
    <row r="4" spans="5:5" x14ac:dyDescent="0.25">
      <c r="E4" s="37" t="s">
        <v>43</v>
      </c>
    </row>
    <row r="5" spans="5:5" x14ac:dyDescent="0.25">
      <c r="E5" t="s">
        <v>28</v>
      </c>
    </row>
    <row r="6" spans="5:5" x14ac:dyDescent="0.25">
      <c r="E6" t="s">
        <v>29</v>
      </c>
    </row>
    <row r="7" spans="5:5" x14ac:dyDescent="0.25">
      <c r="E7" t="s">
        <v>30</v>
      </c>
    </row>
  </sheetData>
  <pageMargins left="0.7" right="0.7" top="0.75" bottom="0.75" header="0.3" footer="0.3"/>
  <pageSetup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8"/>
  <sheetViews>
    <sheetView workbookViewId="0">
      <selection activeCell="H35" sqref="H35"/>
    </sheetView>
  </sheetViews>
  <sheetFormatPr defaultRowHeight="15" x14ac:dyDescent="0.25"/>
  <cols>
    <col min="1" max="1" width="66.28515625" bestFit="1" customWidth="1"/>
    <col min="2" max="2" width="11.85546875" customWidth="1"/>
    <col min="3" max="3" width="13.140625" customWidth="1"/>
    <col min="4" max="4" width="12.42578125" bestFit="1" customWidth="1"/>
  </cols>
  <sheetData>
    <row r="3" spans="1:8" x14ac:dyDescent="0.25">
      <c r="B3" s="117" t="s">
        <v>64</v>
      </c>
      <c r="C3" s="117"/>
      <c r="D3" s="117"/>
    </row>
    <row r="4" spans="1:8" x14ac:dyDescent="0.25">
      <c r="A4" t="s">
        <v>65</v>
      </c>
      <c r="B4" s="62" t="s">
        <v>66</v>
      </c>
      <c r="C4" s="62" t="s">
        <v>67</v>
      </c>
      <c r="D4" s="62" t="s">
        <v>68</v>
      </c>
      <c r="F4" s="62" t="s">
        <v>69</v>
      </c>
    </row>
    <row r="5" spans="1:8" x14ac:dyDescent="0.25">
      <c r="A5" t="s">
        <v>70</v>
      </c>
      <c r="B5" s="63">
        <v>0.18</v>
      </c>
      <c r="C5" s="63">
        <v>0.05</v>
      </c>
      <c r="D5" s="63" t="s">
        <v>71</v>
      </c>
      <c r="F5" t="s">
        <v>72</v>
      </c>
    </row>
    <row r="6" spans="1:8" x14ac:dyDescent="0.25">
      <c r="A6" t="s">
        <v>73</v>
      </c>
      <c r="B6" s="63">
        <v>0.105</v>
      </c>
      <c r="C6" s="63">
        <v>0.03</v>
      </c>
      <c r="D6" s="63">
        <v>0.08</v>
      </c>
      <c r="F6" t="s">
        <v>74</v>
      </c>
    </row>
    <row r="7" spans="1:8" x14ac:dyDescent="0.25">
      <c r="A7" s="6" t="s">
        <v>75</v>
      </c>
      <c r="B7" s="63">
        <v>0.14000000000000001</v>
      </c>
      <c r="C7" s="63">
        <v>0.05</v>
      </c>
      <c r="D7" s="63">
        <v>0.1</v>
      </c>
      <c r="F7" t="s">
        <v>76</v>
      </c>
    </row>
    <row r="8" spans="1:8" x14ac:dyDescent="0.25">
      <c r="B8" s="63"/>
      <c r="C8" s="63"/>
      <c r="D8" s="63"/>
    </row>
    <row r="9" spans="1:8" x14ac:dyDescent="0.25">
      <c r="B9" s="63"/>
      <c r="C9" s="63"/>
      <c r="D9" s="63"/>
    </row>
    <row r="10" spans="1:8" x14ac:dyDescent="0.25">
      <c r="B10" s="64"/>
      <c r="C10" s="63"/>
      <c r="D10" s="63"/>
    </row>
    <row r="11" spans="1:8" x14ac:dyDescent="0.25">
      <c r="B11" s="64" t="s">
        <v>77</v>
      </c>
      <c r="C11" s="63"/>
      <c r="D11" s="63"/>
    </row>
    <row r="12" spans="1:8" x14ac:dyDescent="0.25">
      <c r="B12" s="117" t="s">
        <v>64</v>
      </c>
      <c r="C12" s="117"/>
      <c r="D12" s="117"/>
      <c r="E12" s="117"/>
    </row>
    <row r="13" spans="1:8" x14ac:dyDescent="0.25">
      <c r="B13" s="62" t="s">
        <v>66</v>
      </c>
      <c r="C13" s="62" t="s">
        <v>67</v>
      </c>
      <c r="D13" s="62" t="s">
        <v>68</v>
      </c>
      <c r="E13" s="62" t="s">
        <v>78</v>
      </c>
    </row>
    <row r="14" spans="1:8" x14ac:dyDescent="0.25">
      <c r="A14">
        <v>2014</v>
      </c>
      <c r="B14" s="63">
        <v>0.18</v>
      </c>
      <c r="C14" s="63">
        <v>0.05</v>
      </c>
      <c r="D14" s="63">
        <v>0.1</v>
      </c>
      <c r="E14" s="1">
        <f>SUM(B14:D14)</f>
        <v>0.32999999999999996</v>
      </c>
    </row>
    <row r="15" spans="1:8" x14ac:dyDescent="0.25">
      <c r="A15">
        <v>2013</v>
      </c>
      <c r="B15" s="63">
        <v>0.13</v>
      </c>
      <c r="C15" s="63">
        <v>0.03</v>
      </c>
      <c r="D15" s="63">
        <v>0.1</v>
      </c>
      <c r="E15" s="1">
        <f t="shared" ref="E15:E20" si="0">SUM(B15:D15)</f>
        <v>0.26</v>
      </c>
      <c r="G15" s="5" t="s">
        <v>79</v>
      </c>
      <c r="H15" s="16">
        <f>MIN(E14:E20)</f>
        <v>0.25</v>
      </c>
    </row>
    <row r="16" spans="1:8" x14ac:dyDescent="0.25">
      <c r="A16">
        <v>2012</v>
      </c>
      <c r="B16" s="63">
        <v>0.14000000000000001</v>
      </c>
      <c r="C16" s="63">
        <v>0.05</v>
      </c>
      <c r="D16" s="63">
        <v>0.1</v>
      </c>
      <c r="E16" s="1">
        <f t="shared" si="0"/>
        <v>0.29000000000000004</v>
      </c>
      <c r="G16" s="5" t="s">
        <v>80</v>
      </c>
      <c r="H16" s="16">
        <f>MAX(E14:E20)</f>
        <v>0.32999999999999996</v>
      </c>
    </row>
    <row r="17" spans="1:8" x14ac:dyDescent="0.25">
      <c r="A17">
        <v>2011</v>
      </c>
      <c r="B17" s="63">
        <v>0.16</v>
      </c>
      <c r="C17" s="63">
        <v>0.03</v>
      </c>
      <c r="D17" s="63">
        <v>0.1</v>
      </c>
      <c r="E17" s="1">
        <f t="shared" si="0"/>
        <v>0.29000000000000004</v>
      </c>
      <c r="G17" s="5" t="s">
        <v>81</v>
      </c>
      <c r="H17" s="16">
        <f>AVERAGE(E14:E20)</f>
        <v>0.27857142857142858</v>
      </c>
    </row>
    <row r="18" spans="1:8" x14ac:dyDescent="0.25">
      <c r="A18">
        <v>2010</v>
      </c>
      <c r="B18" s="63">
        <v>0.14000000000000001</v>
      </c>
      <c r="C18" s="63">
        <v>0.04</v>
      </c>
      <c r="D18" s="63">
        <v>0.09</v>
      </c>
      <c r="E18" s="1">
        <f>SUM(B18:D18)</f>
        <v>0.27</v>
      </c>
    </row>
    <row r="19" spans="1:8" x14ac:dyDescent="0.25">
      <c r="A19">
        <v>2009</v>
      </c>
      <c r="B19" s="63">
        <v>0.14000000000000001</v>
      </c>
      <c r="C19" s="63">
        <v>0.03</v>
      </c>
      <c r="D19" s="63">
        <v>0.09</v>
      </c>
      <c r="E19" s="1">
        <f t="shared" si="0"/>
        <v>0.26</v>
      </c>
    </row>
    <row r="20" spans="1:8" x14ac:dyDescent="0.25">
      <c r="A20">
        <v>2008</v>
      </c>
      <c r="B20" s="63">
        <v>0.12</v>
      </c>
      <c r="C20" s="63">
        <v>0.04</v>
      </c>
      <c r="D20" s="63">
        <v>0.09</v>
      </c>
      <c r="E20" s="1">
        <f t="shared" si="0"/>
        <v>0.25</v>
      </c>
    </row>
    <row r="21" spans="1:8" x14ac:dyDescent="0.25">
      <c r="B21" s="63"/>
      <c r="C21" s="63"/>
      <c r="D21" s="63"/>
      <c r="G21" s="36" t="s">
        <v>83</v>
      </c>
    </row>
    <row r="22" spans="1:8" x14ac:dyDescent="0.25">
      <c r="B22" s="63"/>
      <c r="C22" s="63"/>
      <c r="D22" s="63"/>
      <c r="G22" t="s">
        <v>79</v>
      </c>
    </row>
    <row r="23" spans="1:8" x14ac:dyDescent="0.25">
      <c r="B23" s="63"/>
      <c r="C23" s="63"/>
      <c r="D23" s="63"/>
      <c r="G23" t="s">
        <v>82</v>
      </c>
    </row>
    <row r="24" spans="1:8" x14ac:dyDescent="0.25">
      <c r="B24" s="63"/>
      <c r="C24" s="63"/>
      <c r="D24" s="63"/>
      <c r="G24" t="s">
        <v>80</v>
      </c>
    </row>
    <row r="25" spans="1:8" x14ac:dyDescent="0.25">
      <c r="B25" s="63"/>
      <c r="C25" s="63"/>
      <c r="D25" s="63"/>
    </row>
    <row r="26" spans="1:8" x14ac:dyDescent="0.25">
      <c r="B26" s="63"/>
      <c r="C26" s="63"/>
      <c r="D26" s="63"/>
    </row>
    <row r="27" spans="1:8" x14ac:dyDescent="0.25">
      <c r="B27" s="63"/>
      <c r="C27" s="63"/>
      <c r="D27" s="63"/>
    </row>
    <row r="28" spans="1:8" x14ac:dyDescent="0.25">
      <c r="B28" s="59"/>
      <c r="C28" s="59"/>
      <c r="D28" s="59"/>
    </row>
  </sheetData>
  <mergeCells count="2">
    <mergeCell ref="B3:D3"/>
    <mergeCell ref="B12:E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vt:lpstr>
      <vt:lpstr>Instructions</vt:lpstr>
      <vt:lpstr> Grain Hauling Decision Tool</vt:lpstr>
      <vt:lpstr>Decision Tool 6 Buyers</vt:lpstr>
      <vt:lpstr>Calculated Discount Schedules</vt:lpstr>
      <vt:lpstr>Sheet1</vt:lpstr>
      <vt:lpstr>Sheet4</vt:lpstr>
      <vt:lpstr>Historical Trucking Costs</vt:lpstr>
      <vt:lpstr>Discount</vt:lpstr>
      <vt:lpstr>Discount2</vt:lpstr>
      <vt:lpstr>DiscountMethod</vt:lpstr>
      <vt:lpstr>OwnershipCost</vt:lpstr>
      <vt:lpstr>' Grain Hauling Decision Tool'!Print_Area</vt:lpstr>
      <vt:lpstr>Cover!Print_Area</vt:lpstr>
    </vt:vector>
  </TitlesOfParts>
  <Company>UK Agricultural Economics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Shockley</dc:creator>
  <cp:lastModifiedBy>Jordan Shockley</cp:lastModifiedBy>
  <cp:lastPrinted>2015-12-01T17:13:20Z</cp:lastPrinted>
  <dcterms:created xsi:type="dcterms:W3CDTF">2015-10-01T13:05:26Z</dcterms:created>
  <dcterms:modified xsi:type="dcterms:W3CDTF">2016-07-05T19:37:06Z</dcterms:modified>
</cp:coreProperties>
</file>