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ttps://luky-my.sharepoint.com/personal/ncat223_uky_edu/Documents/Downloads/"/>
    </mc:Choice>
  </mc:AlternateContent>
  <xr:revisionPtr revIDLastSave="0" documentId="8_{F9D92B0C-E0A4-456D-B3F2-852E4EEADF6A}" xr6:coauthVersionLast="47" xr6:coauthVersionMax="47" xr10:uidLastSave="{00000000-0000-0000-0000-000000000000}"/>
  <workbookProtection workbookAlgorithmName="SHA-512" workbookHashValue="J4aImsMOFF6pcuK3eZlbCJPpcRB1Wk0p2puM30gfNpcnFkECGwTDdv8f3Q5xzJFDFRmLWkMNRRh1NlkR/pYqSQ==" workbookSaltValue="d59ZmdD4ZYSl1fXgtPjqNg==" workbookSpinCount="100000" lockStructure="1"/>
  <bookViews>
    <workbookView xWindow="75480" yWindow="-120" windowWidth="25440" windowHeight="15270" tabRatio="832" xr2:uid="{00000000-000D-0000-FFFF-FFFF00000000}"/>
  </bookViews>
  <sheets>
    <sheet name="Cover" sheetId="33" r:id="rId1"/>
    <sheet name="Production Data" sheetId="7" r:id="rId2"/>
    <sheet name="Depreciable Items" sheetId="21" r:id="rId3"/>
    <sheet name="Summary" sheetId="2" r:id="rId4"/>
    <sheet name="Egg Production, Feed Intake" sheetId="40" state="hidden" r:id="rId5"/>
    <sheet name="NEW" sheetId="41" state="hidden" r:id="rId6"/>
    <sheet name="Drop Box Names" sheetId="20" state="hidden" r:id="rId7"/>
    <sheet name="Production Q's" sheetId="31" state="hidden" r:id="rId8"/>
    <sheet name="Formatting" sheetId="32" state="hidden" r:id="rId9"/>
    <sheet name="Feed Intake" sheetId="11" state="hidden" r:id="rId10"/>
    <sheet name="Feed Intake Data" sheetId="34"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E9" i="2"/>
  <c r="H14" i="2"/>
  <c r="H16" i="2" s="1"/>
  <c r="C114" i="7"/>
  <c r="I61" i="7" s="1"/>
  <c r="G14" i="2"/>
  <c r="H15" i="2"/>
  <c r="G15" i="2"/>
  <c r="H18" i="2"/>
  <c r="G18" i="2"/>
  <c r="J6" i="2"/>
  <c r="J8" i="2"/>
  <c r="H19" i="2"/>
  <c r="G19" i="2"/>
  <c r="E26" i="2"/>
  <c r="H34" i="7"/>
  <c r="G26" i="2"/>
  <c r="I56" i="7"/>
  <c r="J5" i="2"/>
  <c r="G27" i="2"/>
  <c r="G28" i="2"/>
  <c r="E34" i="2"/>
  <c r="E37" i="2"/>
  <c r="G37" i="2"/>
  <c r="E38" i="2"/>
  <c r="G38" i="2"/>
  <c r="J38" i="2" s="1"/>
  <c r="E39" i="2"/>
  <c r="G39" i="2"/>
  <c r="J26" i="2"/>
  <c r="J28" i="2"/>
  <c r="J29" i="2"/>
  <c r="J30" i="2"/>
  <c r="J32" i="2"/>
  <c r="J35" i="2"/>
  <c r="J36" i="2"/>
  <c r="J37" i="2"/>
  <c r="J39" i="2"/>
  <c r="J41" i="2"/>
  <c r="F26" i="2"/>
  <c r="B60" i="2"/>
  <c r="B59" i="2"/>
  <c r="B57" i="2"/>
  <c r="B33" i="7"/>
  <c r="B34" i="7"/>
  <c r="B30" i="7"/>
  <c r="I34" i="7"/>
  <c r="E5" i="40"/>
  <c r="J5" i="40"/>
  <c r="J7" i="40"/>
  <c r="H11" i="40"/>
  <c r="H8" i="7" s="1"/>
  <c r="E18" i="7"/>
  <c r="E19" i="7" s="1"/>
  <c r="B27" i="7"/>
  <c r="B73" i="20"/>
  <c r="G45" i="40"/>
  <c r="G47" i="40"/>
  <c r="E23" i="40"/>
  <c r="E28" i="40" s="1"/>
  <c r="E26" i="40"/>
  <c r="G13" i="40"/>
  <c r="H13" i="40"/>
  <c r="H12" i="40" s="1"/>
  <c r="G11" i="21"/>
  <c r="K11" i="21" s="1"/>
  <c r="J11" i="21"/>
  <c r="G12" i="21"/>
  <c r="J12" i="21"/>
  <c r="K12" i="21"/>
  <c r="L12" i="21"/>
  <c r="G13" i="21"/>
  <c r="J13" i="21" s="1"/>
  <c r="L14" i="21"/>
  <c r="G15" i="21"/>
  <c r="J15" i="21"/>
  <c r="K15" i="21"/>
  <c r="L15" i="21"/>
  <c r="B18" i="20"/>
  <c r="G17" i="21"/>
  <c r="J17" i="21"/>
  <c r="K17" i="21" s="1"/>
  <c r="G18" i="21"/>
  <c r="K18" i="21" s="1"/>
  <c r="J18" i="21"/>
  <c r="G21" i="21"/>
  <c r="J21" i="21"/>
  <c r="K21" i="21"/>
  <c r="L21" i="21"/>
  <c r="G26" i="21"/>
  <c r="J26" i="21"/>
  <c r="L26" i="21" s="1"/>
  <c r="K26" i="21"/>
  <c r="G27" i="21"/>
  <c r="K27" i="21" s="1"/>
  <c r="K38" i="21" s="1"/>
  <c r="J27" i="21"/>
  <c r="L27" i="21" s="1"/>
  <c r="G28" i="21"/>
  <c r="J28" i="21"/>
  <c r="L28" i="21" s="1"/>
  <c r="K28" i="21"/>
  <c r="G29" i="21"/>
  <c r="J29" i="21"/>
  <c r="K29" i="21"/>
  <c r="L29" i="21"/>
  <c r="G30" i="21"/>
  <c r="J30" i="21"/>
  <c r="J38" i="21" s="1"/>
  <c r="K30" i="21"/>
  <c r="L30" i="21"/>
  <c r="G31" i="21"/>
  <c r="J31" i="21"/>
  <c r="L31" i="21" s="1"/>
  <c r="K31" i="21"/>
  <c r="G32" i="21"/>
  <c r="J32" i="21"/>
  <c r="L32" i="21" s="1"/>
  <c r="K32" i="21"/>
  <c r="G33" i="21"/>
  <c r="J33" i="21"/>
  <c r="L33" i="21" s="1"/>
  <c r="K33" i="21"/>
  <c r="G34" i="21"/>
  <c r="J34" i="21"/>
  <c r="L34" i="21" s="1"/>
  <c r="K34" i="21"/>
  <c r="G35" i="21"/>
  <c r="J35" i="21"/>
  <c r="K35" i="21"/>
  <c r="L35" i="21"/>
  <c r="G36" i="21"/>
  <c r="J36" i="21"/>
  <c r="K36" i="21"/>
  <c r="L36" i="21"/>
  <c r="G37" i="21"/>
  <c r="J37" i="21"/>
  <c r="L37" i="21" s="1"/>
  <c r="K37" i="21"/>
  <c r="J51" i="2"/>
  <c r="C85" i="2"/>
  <c r="E24" i="7"/>
  <c r="E25" i="7" s="1"/>
  <c r="F27" i="2"/>
  <c r="E5" i="41"/>
  <c r="E28" i="41" s="1"/>
  <c r="J5" i="41"/>
  <c r="J7" i="41"/>
  <c r="E23" i="41"/>
  <c r="G52" i="41" s="1"/>
  <c r="E30" i="41"/>
  <c r="C46" i="41"/>
  <c r="F40" i="41"/>
  <c r="E38" i="41"/>
  <c r="E40" i="41" s="1"/>
  <c r="F38" i="41"/>
  <c r="F39" i="41"/>
  <c r="G58" i="41"/>
  <c r="F30" i="41"/>
  <c r="H76" i="41"/>
  <c r="K74" i="41"/>
  <c r="J74" i="41"/>
  <c r="K73" i="41"/>
  <c r="G60" i="41"/>
  <c r="G62" i="41"/>
  <c r="E21" i="41"/>
  <c r="G61" i="41"/>
  <c r="G59" i="41"/>
  <c r="R20" i="41"/>
  <c r="S20" i="41"/>
  <c r="G21" i="41"/>
  <c r="E39" i="41" s="1"/>
  <c r="F28" i="41"/>
  <c r="R19" i="41"/>
  <c r="S19" i="41"/>
  <c r="G20" i="41"/>
  <c r="H20" i="41"/>
  <c r="E20" i="41"/>
  <c r="R18" i="41"/>
  <c r="S18" i="41"/>
  <c r="G19" i="41"/>
  <c r="H19" i="41"/>
  <c r="E19" i="41"/>
  <c r="H11" i="41"/>
  <c r="H13" i="41" s="1"/>
  <c r="H12" i="41" s="1"/>
  <c r="G13" i="41"/>
  <c r="G15" i="41"/>
  <c r="C26" i="2"/>
  <c r="B51" i="7"/>
  <c r="G14" i="21"/>
  <c r="C83" i="2"/>
  <c r="H12" i="7"/>
  <c r="J42" i="7"/>
  <c r="G73" i="2"/>
  <c r="H73" i="2" s="1"/>
  <c r="G77" i="2" s="1"/>
  <c r="H77" i="2" s="1"/>
  <c r="H79" i="2" s="1"/>
  <c r="E77" i="2"/>
  <c r="E78" i="2"/>
  <c r="H78" i="2"/>
  <c r="E76" i="2"/>
  <c r="G76" i="2"/>
  <c r="H76" i="2"/>
  <c r="U73" i="2"/>
  <c r="U72" i="2"/>
  <c r="U71" i="2"/>
  <c r="U74" i="2" s="1"/>
  <c r="S73" i="2"/>
  <c r="S72" i="2"/>
  <c r="S71" i="2"/>
  <c r="O75" i="2"/>
  <c r="O74" i="2"/>
  <c r="O73" i="2"/>
  <c r="O76" i="2" s="1"/>
  <c r="T74" i="2"/>
  <c r="S74" i="2"/>
  <c r="F26" i="40"/>
  <c r="H63" i="40"/>
  <c r="K61" i="40"/>
  <c r="J61" i="40"/>
  <c r="K60" i="40"/>
  <c r="F121" i="7"/>
  <c r="G121" i="7"/>
  <c r="H121" i="7" s="1"/>
  <c r="G46" i="40"/>
  <c r="B69" i="7"/>
  <c r="B56" i="7"/>
  <c r="B42" i="7"/>
  <c r="B65" i="7"/>
  <c r="B61" i="7"/>
  <c r="C115" i="7"/>
  <c r="L37" i="2"/>
  <c r="L39" i="2"/>
  <c r="K37" i="7"/>
  <c r="N16" i="21"/>
  <c r="N13" i="21"/>
  <c r="N30" i="21"/>
  <c r="N29" i="21"/>
  <c r="N27" i="21"/>
  <c r="N28" i="21"/>
  <c r="N26" i="21"/>
  <c r="G49" i="40"/>
  <c r="G48" i="40"/>
  <c r="F28" i="40"/>
  <c r="S19" i="40"/>
  <c r="S20" i="40"/>
  <c r="R19" i="40"/>
  <c r="S18" i="40"/>
  <c r="R20" i="40"/>
  <c r="R18" i="40"/>
  <c r="E21" i="40"/>
  <c r="E20" i="40"/>
  <c r="E19" i="40"/>
  <c r="G21" i="40"/>
  <c r="G39" i="40" s="1"/>
  <c r="H21" i="40"/>
  <c r="G20" i="40"/>
  <c r="H20" i="40"/>
  <c r="G19" i="40"/>
  <c r="H19" i="40" s="1"/>
  <c r="L38" i="2"/>
  <c r="G15" i="40"/>
  <c r="C119" i="7"/>
  <c r="F119" i="7"/>
  <c r="B19" i="20"/>
  <c r="J80" i="7"/>
  <c r="E8" i="2" s="1"/>
  <c r="J82" i="7"/>
  <c r="J81" i="7"/>
  <c r="O35" i="34"/>
  <c r="P35" i="34"/>
  <c r="Q35" i="34"/>
  <c r="O36" i="34"/>
  <c r="P36" i="34"/>
  <c r="Q36" i="34"/>
  <c r="O37" i="34"/>
  <c r="P37" i="34"/>
  <c r="Q37" i="34"/>
  <c r="O40" i="34"/>
  <c r="P40" i="34"/>
  <c r="Q40" i="34"/>
  <c r="O41" i="34"/>
  <c r="P41" i="34"/>
  <c r="Q41" i="34"/>
  <c r="O42" i="34"/>
  <c r="P42" i="34"/>
  <c r="Q42" i="34"/>
  <c r="H60" i="34"/>
  <c r="H62" i="34" s="1"/>
  <c r="H61" i="34"/>
  <c r="H59" i="34"/>
  <c r="I61" i="34"/>
  <c r="K61" i="34"/>
  <c r="I60" i="34"/>
  <c r="K60" i="34"/>
  <c r="I59" i="34"/>
  <c r="K59" i="34"/>
  <c r="E52" i="34"/>
  <c r="E53" i="34"/>
  <c r="E50" i="34"/>
  <c r="E49" i="34"/>
  <c r="B26" i="34"/>
  <c r="P68" i="34"/>
  <c r="P69" i="34"/>
  <c r="P70" i="34"/>
  <c r="P71" i="34"/>
  <c r="P72" i="34"/>
  <c r="P73" i="34"/>
  <c r="P74" i="34"/>
  <c r="P75" i="34"/>
  <c r="O69" i="34"/>
  <c r="I15" i="34" s="1"/>
  <c r="O70" i="34"/>
  <c r="O71" i="34"/>
  <c r="O72" i="34"/>
  <c r="O73" i="34"/>
  <c r="O74" i="34"/>
  <c r="O75" i="34"/>
  <c r="O68" i="34"/>
  <c r="I14" i="34" s="1"/>
  <c r="J15" i="34"/>
  <c r="K15" i="34"/>
  <c r="J16" i="34"/>
  <c r="K16" i="34"/>
  <c r="J17" i="34"/>
  <c r="K17" i="34"/>
  <c r="J18" i="34"/>
  <c r="K18" i="34"/>
  <c r="J19" i="34"/>
  <c r="K19" i="34" s="1"/>
  <c r="J20" i="34"/>
  <c r="K20" i="34" s="1"/>
  <c r="J21" i="34"/>
  <c r="K21" i="34" s="1"/>
  <c r="J14" i="34"/>
  <c r="K14" i="34" s="1"/>
  <c r="J6" i="34"/>
  <c r="K6" i="34"/>
  <c r="J7" i="34"/>
  <c r="K7" i="34"/>
  <c r="J8" i="34"/>
  <c r="K8" i="34" s="1"/>
  <c r="J9" i="34"/>
  <c r="K9" i="34"/>
  <c r="J10" i="34"/>
  <c r="K10" i="34"/>
  <c r="J11" i="34"/>
  <c r="K11" i="34"/>
  <c r="J12" i="34"/>
  <c r="K12" i="34"/>
  <c r="J13" i="34"/>
  <c r="K13" i="34"/>
  <c r="J5" i="34"/>
  <c r="K5" i="34" s="1"/>
  <c r="K23" i="34" s="1"/>
  <c r="I6" i="34"/>
  <c r="I7" i="34"/>
  <c r="I8" i="34"/>
  <c r="I9" i="34"/>
  <c r="I10" i="34"/>
  <c r="I11" i="34"/>
  <c r="I12" i="34"/>
  <c r="I13" i="34"/>
  <c r="I5" i="34"/>
  <c r="I21" i="34"/>
  <c r="I17" i="34"/>
  <c r="I19" i="34"/>
  <c r="I18" i="34"/>
  <c r="I20" i="34"/>
  <c r="I16" i="34"/>
  <c r="E20" i="2"/>
  <c r="L20" i="2"/>
  <c r="K5" i="11"/>
  <c r="K10" i="11"/>
  <c r="I10" i="11"/>
  <c r="J10" i="11"/>
  <c r="K9" i="11"/>
  <c r="I9" i="11"/>
  <c r="J9" i="11"/>
  <c r="K8" i="11"/>
  <c r="I8" i="11"/>
  <c r="J8" i="11" s="1"/>
  <c r="I5" i="11"/>
  <c r="J5" i="11" s="1"/>
  <c r="K4" i="11"/>
  <c r="I4" i="11"/>
  <c r="J4" i="11"/>
  <c r="K3" i="11"/>
  <c r="I3" i="11"/>
  <c r="J3" i="11" s="1"/>
  <c r="G38" i="11"/>
  <c r="G39" i="11"/>
  <c r="G40" i="11"/>
  <c r="G41" i="11"/>
  <c r="G42" i="11"/>
  <c r="G43" i="11"/>
  <c r="G44" i="11"/>
  <c r="G45" i="11"/>
  <c r="G46" i="11"/>
  <c r="G47" i="11"/>
  <c r="G48" i="11"/>
  <c r="G49" i="11"/>
  <c r="G50" i="11"/>
  <c r="G21" i="11"/>
  <c r="G22" i="11"/>
  <c r="G23" i="11"/>
  <c r="G24" i="11"/>
  <c r="G25" i="11"/>
  <c r="G26" i="11"/>
  <c r="G27" i="11"/>
  <c r="G28" i="11"/>
  <c r="G29" i="11"/>
  <c r="G30" i="11"/>
  <c r="G31" i="11"/>
  <c r="G32" i="11"/>
  <c r="G33" i="11"/>
  <c r="G34" i="11"/>
  <c r="G35" i="11"/>
  <c r="G36" i="11"/>
  <c r="G37" i="11"/>
  <c r="G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20" i="11"/>
  <c r="J38" i="11"/>
  <c r="K50" i="11" s="1"/>
  <c r="L50" i="11" s="1"/>
  <c r="O40" i="11"/>
  <c r="J39" i="11"/>
  <c r="O41" i="11"/>
  <c r="J40" i="11"/>
  <c r="O42" i="11"/>
  <c r="J41" i="11"/>
  <c r="O43" i="11"/>
  <c r="J42" i="11" s="1"/>
  <c r="O44" i="11"/>
  <c r="J43" i="11"/>
  <c r="O45" i="11"/>
  <c r="J44" i="11"/>
  <c r="O46" i="11"/>
  <c r="J45" i="11"/>
  <c r="O47" i="11"/>
  <c r="J46" i="11"/>
  <c r="O48" i="11"/>
  <c r="J47" i="11"/>
  <c r="O49" i="11"/>
  <c r="J48" i="11" s="1"/>
  <c r="O50" i="11"/>
  <c r="J49" i="11"/>
  <c r="O51" i="11"/>
  <c r="J50" i="11"/>
  <c r="K26" i="11"/>
  <c r="L26" i="11"/>
  <c r="K22" i="11"/>
  <c r="L22" i="11"/>
  <c r="K23" i="11"/>
  <c r="L23" i="11"/>
  <c r="K24" i="11"/>
  <c r="K25" i="11"/>
  <c r="K27" i="11"/>
  <c r="L27" i="11"/>
  <c r="K28" i="11"/>
  <c r="L28" i="11"/>
  <c r="K29" i="11"/>
  <c r="L29" i="11" s="1"/>
  <c r="K30" i="11"/>
  <c r="L30" i="11"/>
  <c r="K31" i="11"/>
  <c r="L31" i="11"/>
  <c r="K32" i="11"/>
  <c r="L32" i="11"/>
  <c r="K33" i="11"/>
  <c r="L33" i="11" s="1"/>
  <c r="K34" i="11"/>
  <c r="L34" i="11"/>
  <c r="K35" i="11"/>
  <c r="L35" i="11"/>
  <c r="K36" i="11"/>
  <c r="L36" i="11"/>
  <c r="K37" i="11"/>
  <c r="L37" i="11"/>
  <c r="K21" i="11"/>
  <c r="L21" i="11"/>
  <c r="L24" i="11"/>
  <c r="L25" i="11"/>
  <c r="K20" i="11"/>
  <c r="L20" i="11"/>
  <c r="C20" i="11"/>
  <c r="C21" i="11"/>
  <c r="C22" i="11"/>
  <c r="C23" i="11"/>
  <c r="C24" i="11"/>
  <c r="C25" i="11"/>
  <c r="C26" i="11"/>
  <c r="C27" i="11"/>
  <c r="C28" i="11"/>
  <c r="C29" i="11"/>
  <c r="C30" i="11"/>
  <c r="C31" i="11"/>
  <c r="C32" i="11"/>
  <c r="C33" i="11"/>
  <c r="C34" i="11"/>
  <c r="C35" i="11"/>
  <c r="C36" i="11"/>
  <c r="C37" i="11"/>
  <c r="C38" i="11"/>
  <c r="C39" i="11"/>
  <c r="C19" i="11"/>
  <c r="D15" i="11"/>
  <c r="D14" i="11"/>
  <c r="D13" i="11"/>
  <c r="D12" i="11"/>
  <c r="D11" i="11"/>
  <c r="D10" i="11"/>
  <c r="D9" i="11"/>
  <c r="D8" i="11"/>
  <c r="D7" i="11"/>
  <c r="D6" i="11"/>
  <c r="D5" i="11"/>
  <c r="K41" i="11"/>
  <c r="L41" i="11" s="1"/>
  <c r="J14" i="21"/>
  <c r="K14" i="21" s="1"/>
  <c r="G50" i="2" l="1"/>
  <c r="L38" i="21"/>
  <c r="G55" i="41"/>
  <c r="G53" i="41"/>
  <c r="G54" i="41"/>
  <c r="G56" i="41"/>
  <c r="G40" i="40"/>
  <c r="G43" i="40"/>
  <c r="G42" i="40"/>
  <c r="G41" i="40"/>
  <c r="E6" i="40"/>
  <c r="E7" i="40" s="1"/>
  <c r="E11" i="40" s="1"/>
  <c r="E6" i="2"/>
  <c r="E6" i="41"/>
  <c r="E7" i="41" s="1"/>
  <c r="H62" i="7"/>
  <c r="H31" i="7" s="1"/>
  <c r="K45" i="11"/>
  <c r="L45" i="11" s="1"/>
  <c r="K49" i="11"/>
  <c r="L49" i="11" s="1"/>
  <c r="K43" i="11"/>
  <c r="L43" i="11" s="1"/>
  <c r="K47" i="11"/>
  <c r="L47" i="11" s="1"/>
  <c r="L18" i="21"/>
  <c r="L11" i="21"/>
  <c r="K46" i="11"/>
  <c r="L46" i="11" s="1"/>
  <c r="K13" i="21"/>
  <c r="L13" i="21" s="1"/>
  <c r="H14" i="41"/>
  <c r="K40" i="11"/>
  <c r="L40" i="11" s="1"/>
  <c r="K44" i="11"/>
  <c r="L44" i="11" s="1"/>
  <c r="B2" i="2"/>
  <c r="J9" i="2"/>
  <c r="K38" i="11"/>
  <c r="L38" i="11" s="1"/>
  <c r="H15" i="41"/>
  <c r="H21" i="41"/>
  <c r="D121" i="7"/>
  <c r="G16" i="21"/>
  <c r="K42" i="11"/>
  <c r="L42" i="11" s="1"/>
  <c r="E121" i="7"/>
  <c r="K48" i="11"/>
  <c r="L48" i="11" s="1"/>
  <c r="H14" i="40"/>
  <c r="E10" i="2"/>
  <c r="L17" i="21"/>
  <c r="I65" i="7"/>
  <c r="J10" i="2"/>
  <c r="H15" i="40"/>
  <c r="K39" i="11"/>
  <c r="L39" i="11" s="1"/>
  <c r="E27" i="40" l="1"/>
  <c r="F27" i="40"/>
  <c r="G19" i="21"/>
  <c r="H51" i="7"/>
  <c r="J34" i="2"/>
  <c r="H66" i="7"/>
  <c r="G20" i="21"/>
  <c r="E5" i="2"/>
  <c r="F11" i="41"/>
  <c r="F52" i="41" s="1"/>
  <c r="F58" i="41" s="1"/>
  <c r="E42" i="41"/>
  <c r="F11" i="40"/>
  <c r="F39" i="40" s="1"/>
  <c r="F45" i="40" s="1"/>
  <c r="E7" i="2"/>
  <c r="C121" i="7"/>
  <c r="J16" i="21"/>
  <c r="K16" i="21"/>
  <c r="J50" i="2"/>
  <c r="E37" i="41"/>
  <c r="E45" i="41" s="1"/>
  <c r="E46" i="41" s="1"/>
  <c r="F37" i="41"/>
  <c r="F45" i="41" s="1"/>
  <c r="F46" i="41" s="1"/>
  <c r="E11" i="41"/>
  <c r="F53" i="41"/>
  <c r="F59" i="41" s="1"/>
  <c r="F13" i="40"/>
  <c r="F40" i="40"/>
  <c r="F46" i="40" s="1"/>
  <c r="F54" i="41"/>
  <c r="F60" i="41" s="1"/>
  <c r="F13" i="41"/>
  <c r="F41" i="40"/>
  <c r="F47" i="40" s="1"/>
  <c r="F55" i="41"/>
  <c r="F61" i="41" s="1"/>
  <c r="F15" i="40"/>
  <c r="F15" i="41"/>
  <c r="F56" i="41"/>
  <c r="F62" i="41" s="1"/>
  <c r="F43" i="40"/>
  <c r="F49" i="40" s="1"/>
  <c r="F42" i="40"/>
  <c r="F48" i="40" s="1"/>
  <c r="AI17" i="21" l="1"/>
  <c r="D17" i="21"/>
  <c r="AI36" i="21"/>
  <c r="I41" i="2"/>
  <c r="D36" i="21"/>
  <c r="AI20" i="21"/>
  <c r="I30" i="2"/>
  <c r="I35" i="2"/>
  <c r="D30" i="21"/>
  <c r="D26" i="21"/>
  <c r="I36" i="2"/>
  <c r="D20" i="21"/>
  <c r="D32" i="21"/>
  <c r="AI18" i="21"/>
  <c r="D18" i="21" s="1"/>
  <c r="D31" i="21"/>
  <c r="AI19" i="21"/>
  <c r="D19" i="21" s="1"/>
  <c r="D27" i="21"/>
  <c r="I32" i="2"/>
  <c r="AI11" i="21"/>
  <c r="D11" i="21" s="1"/>
  <c r="I51" i="2"/>
  <c r="I38" i="2"/>
  <c r="AI14" i="21"/>
  <c r="D28" i="21"/>
  <c r="AI31" i="21"/>
  <c r="AI32" i="21"/>
  <c r="D29" i="21"/>
  <c r="D13" i="21"/>
  <c r="D14" i="21"/>
  <c r="D33" i="21"/>
  <c r="I28" i="2"/>
  <c r="I40" i="2"/>
  <c r="I29" i="2"/>
  <c r="D16" i="21"/>
  <c r="AI15" i="21"/>
  <c r="D15" i="21" s="1"/>
  <c r="AI34" i="21"/>
  <c r="D34" i="21" s="1"/>
  <c r="I39" i="2"/>
  <c r="AI12" i="21"/>
  <c r="D12" i="21" s="1"/>
  <c r="AI35" i="21"/>
  <c r="D35" i="21" s="1"/>
  <c r="I26" i="2"/>
  <c r="I34" i="2"/>
  <c r="I37" i="2"/>
  <c r="L16" i="21"/>
  <c r="J19" i="21"/>
  <c r="J22" i="21" s="1"/>
  <c r="K19" i="21"/>
  <c r="I11" i="41"/>
  <c r="J11" i="41" s="1"/>
  <c r="F29" i="41"/>
  <c r="E12" i="41"/>
  <c r="K12" i="41" s="1"/>
  <c r="L12" i="41" s="1"/>
  <c r="N11" i="41"/>
  <c r="N12" i="41" s="1"/>
  <c r="E13" i="41"/>
  <c r="E29" i="41"/>
  <c r="I11" i="40"/>
  <c r="J11" i="40" s="1"/>
  <c r="F30" i="40"/>
  <c r="F32" i="40" s="1"/>
  <c r="F31" i="40"/>
  <c r="E13" i="40"/>
  <c r="E30" i="40"/>
  <c r="E32" i="40" s="1"/>
  <c r="I49" i="7" s="1"/>
  <c r="E39" i="40"/>
  <c r="E31" i="40"/>
  <c r="J20" i="21"/>
  <c r="E12" i="40"/>
  <c r="K12" i="40" s="1"/>
  <c r="L12" i="40" s="1"/>
  <c r="I50" i="2"/>
  <c r="N11" i="40"/>
  <c r="F24" i="7" l="1"/>
  <c r="N12" i="40"/>
  <c r="F22" i="7"/>
  <c r="F23" i="7"/>
  <c r="E33" i="2" s="1"/>
  <c r="G23" i="7"/>
  <c r="E18" i="2"/>
  <c r="E19" i="2"/>
  <c r="J19" i="2" s="1"/>
  <c r="I13" i="40"/>
  <c r="J13" i="40" s="1"/>
  <c r="N7" i="2" s="1"/>
  <c r="E15" i="40"/>
  <c r="N13" i="40"/>
  <c r="N14" i="40" s="1"/>
  <c r="E14" i="40"/>
  <c r="K14" i="40" s="1"/>
  <c r="L14" i="40" s="1"/>
  <c r="K20" i="21"/>
  <c r="K22" i="21" s="1"/>
  <c r="E45" i="40"/>
  <c r="I45" i="40" s="1"/>
  <c r="E40" i="40"/>
  <c r="E41" i="40"/>
  <c r="I39" i="40"/>
  <c r="F32" i="41"/>
  <c r="F34" i="41" s="1"/>
  <c r="F33" i="41"/>
  <c r="M13" i="40"/>
  <c r="G18" i="7"/>
  <c r="F18" i="7" s="1"/>
  <c r="M7" i="2"/>
  <c r="G17" i="7"/>
  <c r="F17" i="7" s="1"/>
  <c r="G16" i="7"/>
  <c r="E15" i="2"/>
  <c r="J15" i="2" s="1"/>
  <c r="E14" i="2"/>
  <c r="I13" i="41"/>
  <c r="J13" i="41" s="1"/>
  <c r="N13" i="41"/>
  <c r="N14" i="41" s="1"/>
  <c r="E15" i="41"/>
  <c r="E14" i="41"/>
  <c r="K14" i="41" s="1"/>
  <c r="L14" i="41" s="1"/>
  <c r="G48" i="2"/>
  <c r="M13" i="41"/>
  <c r="M12" i="41"/>
  <c r="E32" i="41"/>
  <c r="E52" i="41"/>
  <c r="E33" i="41"/>
  <c r="L19" i="21"/>
  <c r="E53" i="41" l="1"/>
  <c r="E58" i="41"/>
  <c r="I58" i="41" s="1"/>
  <c r="I52" i="41"/>
  <c r="E54" i="41"/>
  <c r="J48" i="2"/>
  <c r="I48" i="2"/>
  <c r="E34" i="41"/>
  <c r="F25" i="7"/>
  <c r="I50" i="7"/>
  <c r="K39" i="40"/>
  <c r="H40" i="40"/>
  <c r="J40" i="40" s="1"/>
  <c r="K40" i="40" s="1"/>
  <c r="E46" i="40"/>
  <c r="H46" i="40" s="1"/>
  <c r="J47" i="40"/>
  <c r="K47" i="40" s="1"/>
  <c r="L47" i="40" s="1"/>
  <c r="J46" i="40"/>
  <c r="K46" i="40" s="1"/>
  <c r="L46" i="40" s="1"/>
  <c r="K45" i="40"/>
  <c r="L45" i="40" s="1"/>
  <c r="L22" i="21"/>
  <c r="L40" i="21" s="1"/>
  <c r="N15" i="40"/>
  <c r="I15" i="40"/>
  <c r="J15" i="40" s="1"/>
  <c r="O7" i="2" s="1"/>
  <c r="M15" i="40"/>
  <c r="N15" i="41"/>
  <c r="I15" i="41"/>
  <c r="J15" i="41" s="1"/>
  <c r="F20" i="2"/>
  <c r="J18" i="2"/>
  <c r="J20" i="2" s="1"/>
  <c r="I33" i="2"/>
  <c r="J33" i="2"/>
  <c r="E47" i="40"/>
  <c r="I47" i="40" s="1"/>
  <c r="E42" i="40"/>
  <c r="E43" i="40"/>
  <c r="I41" i="40"/>
  <c r="G19" i="7"/>
  <c r="F16" i="7"/>
  <c r="F19" i="7" s="1"/>
  <c r="M12" i="40"/>
  <c r="L20" i="21"/>
  <c r="G49" i="2" s="1"/>
  <c r="E16" i="2"/>
  <c r="J14" i="2"/>
  <c r="J16" i="2" s="1"/>
  <c r="J22" i="2" s="1"/>
  <c r="G16" i="2"/>
  <c r="M8" i="2" s="1"/>
  <c r="M14" i="40"/>
  <c r="J49" i="2" l="1"/>
  <c r="I49" i="2"/>
  <c r="H49" i="2"/>
  <c r="L40" i="40"/>
  <c r="L52" i="40" s="1"/>
  <c r="K52" i="40"/>
  <c r="J41" i="40"/>
  <c r="K41" i="40" s="1"/>
  <c r="E48" i="40"/>
  <c r="H48" i="40" s="1"/>
  <c r="J48" i="40" s="1"/>
  <c r="K48" i="40" s="1"/>
  <c r="L48" i="40" s="1"/>
  <c r="H42" i="40"/>
  <c r="J42" i="40" s="1"/>
  <c r="K42" i="40" s="1"/>
  <c r="J52" i="2"/>
  <c r="H36" i="2"/>
  <c r="H34" i="2"/>
  <c r="H29" i="2"/>
  <c r="I75" i="7"/>
  <c r="C129" i="7"/>
  <c r="H35" i="2"/>
  <c r="I74" i="7"/>
  <c r="G31" i="2" s="1"/>
  <c r="H30" i="2"/>
  <c r="H28" i="2"/>
  <c r="H51" i="2"/>
  <c r="H41" i="2"/>
  <c r="H32" i="2"/>
  <c r="H39" i="2"/>
  <c r="H38" i="2"/>
  <c r="H37" i="2"/>
  <c r="H26" i="2"/>
  <c r="H50" i="2"/>
  <c r="E56" i="41"/>
  <c r="E55" i="41"/>
  <c r="E60" i="41"/>
  <c r="I60" i="41" s="1"/>
  <c r="I54" i="41"/>
  <c r="K51" i="40"/>
  <c r="C84" i="2" s="1"/>
  <c r="E27" i="2" s="1"/>
  <c r="L39" i="40"/>
  <c r="L51" i="40" s="1"/>
  <c r="E49" i="40"/>
  <c r="I49" i="40" s="1"/>
  <c r="J49" i="40" s="1"/>
  <c r="K49" i="40" s="1"/>
  <c r="L49" i="40" s="1"/>
  <c r="I43" i="40"/>
  <c r="J43" i="40" s="1"/>
  <c r="K43" i="40" s="1"/>
  <c r="H48" i="2"/>
  <c r="J54" i="41"/>
  <c r="K54" i="41" s="1"/>
  <c r="J53" i="41"/>
  <c r="K53" i="41" s="1"/>
  <c r="K52" i="41"/>
  <c r="N8" i="2"/>
  <c r="I52" i="2"/>
  <c r="J59" i="41"/>
  <c r="K59" i="41" s="1"/>
  <c r="L59" i="41" s="1"/>
  <c r="K58" i="41"/>
  <c r="L58" i="41" s="1"/>
  <c r="H33" i="2"/>
  <c r="M15" i="41"/>
  <c r="M14" i="41"/>
  <c r="O8" i="2"/>
  <c r="E59" i="41"/>
  <c r="H59" i="41" s="1"/>
  <c r="H53" i="41"/>
  <c r="L43" i="40" l="1"/>
  <c r="L55" i="40" s="1"/>
  <c r="K55" i="40"/>
  <c r="B74" i="7"/>
  <c r="B75" i="7"/>
  <c r="L53" i="41"/>
  <c r="L65" i="41" s="1"/>
  <c r="K65" i="41"/>
  <c r="K53" i="40"/>
  <c r="L41" i="40"/>
  <c r="L53" i="40" s="1"/>
  <c r="J31" i="2"/>
  <c r="H31" i="2"/>
  <c r="I31" i="2"/>
  <c r="L54" i="41"/>
  <c r="L66" i="41" s="1"/>
  <c r="K66" i="41"/>
  <c r="K64" i="41"/>
  <c r="L52" i="41"/>
  <c r="L64" i="41" s="1"/>
  <c r="H52" i="2"/>
  <c r="J27" i="2"/>
  <c r="J42" i="2" s="1"/>
  <c r="H27" i="2"/>
  <c r="H42" i="2" s="1"/>
  <c r="H54" i="2" s="1"/>
  <c r="I27" i="2"/>
  <c r="I42" i="2" s="1"/>
  <c r="J60" i="41"/>
  <c r="K60" i="41" s="1"/>
  <c r="L60" i="41" s="1"/>
  <c r="K54" i="40"/>
  <c r="L42" i="40"/>
  <c r="L54" i="40" s="1"/>
  <c r="E61" i="41"/>
  <c r="H61" i="41" s="1"/>
  <c r="J61" i="41" s="1"/>
  <c r="K61" i="41" s="1"/>
  <c r="L61" i="41" s="1"/>
  <c r="H55" i="41"/>
  <c r="J55" i="41" s="1"/>
  <c r="K55" i="41" s="1"/>
  <c r="I56" i="41"/>
  <c r="J56" i="41" s="1"/>
  <c r="K56" i="41" s="1"/>
  <c r="E62" i="41"/>
  <c r="I62" i="41" s="1"/>
  <c r="J62" i="41" s="1"/>
  <c r="K62" i="41" s="1"/>
  <c r="L62" i="41" s="1"/>
  <c r="J59" i="2" l="1"/>
  <c r="J54" i="2"/>
  <c r="J44" i="2"/>
  <c r="L56" i="41"/>
  <c r="L68" i="41" s="1"/>
  <c r="K68" i="41"/>
  <c r="I54" i="2"/>
  <c r="I44" i="2"/>
  <c r="L55" i="41"/>
  <c r="L67" i="41" s="1"/>
  <c r="K67" i="41"/>
  <c r="J60" i="2" l="1"/>
  <c r="J57" i="2"/>
  <c r="M9" i="2"/>
  <c r="N9" i="2"/>
  <c r="O9" i="2"/>
  <c r="H57" i="2" l="1"/>
  <c r="I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Tech Bench x64</author>
    <author>Samantha Kindred</author>
  </authors>
  <commentList>
    <comment ref="H4" authorId="0" shapeId="0" xr:uid="{00000000-0006-0000-0100-000001000000}">
      <text>
        <r>
          <rPr>
            <sz val="9"/>
            <color indexed="81"/>
            <rFont val="Tahoma"/>
            <family val="2"/>
          </rPr>
          <t xml:space="preserve">Each breed has the potential to affect the feed consumption, mortality rate, forage replacement rate, etc.
For the purpose of mortality rate (pre and post production age), and forage replacement, the White Leghorn and ISA Brown are considered production types, and the other breeds are dual purpose. </t>
        </r>
      </text>
    </comment>
    <comment ref="H28" authorId="0" shapeId="0" xr:uid="{00000000-0006-0000-0100-000002000000}">
      <text>
        <r>
          <rPr>
            <sz val="9"/>
            <color indexed="81"/>
            <rFont val="Tahoma"/>
            <family val="2"/>
          </rPr>
          <t xml:space="preserve">Choose which way the hens are initially purchased.
Cells in the management style sheets will change internally to appropriately account for related costs, including the cost of the bird, brooder, and other general supplies.
</t>
        </r>
      </text>
    </comment>
    <comment ref="H36" authorId="1" shapeId="0" xr:uid="{00000000-0006-0000-0100-000003000000}">
      <text>
        <r>
          <rPr>
            <sz val="9"/>
            <color indexed="81"/>
            <rFont val="Tahoma"/>
            <family val="2"/>
          </rPr>
          <t xml:space="preserve">When choosing the housing type, it is assumed that the stationary housing will be a chicken coop and that mobile housing with either be hoop houses or a chicken tractor. </t>
        </r>
      </text>
    </comment>
    <comment ref="H41" authorId="0" shapeId="0" xr:uid="{00000000-0006-0000-0100-000004000000}">
      <text>
        <r>
          <rPr>
            <sz val="9"/>
            <color indexed="81"/>
            <rFont val="Tahoma"/>
            <family val="2"/>
          </rPr>
          <t xml:space="preserve">Even as a producer considering adding layers to their farm, the user should have an idea about how feed will be purchased and their ability to store it. 
The cost of feed should be available from the local supplier or mill. Because of the volatility of the cost of feed, it is important to update the price. </t>
        </r>
      </text>
    </comment>
    <comment ref="H47" authorId="1" shapeId="0" xr:uid="{00000000-0006-0000-0100-000005000000}">
      <text>
        <r>
          <rPr>
            <sz val="9"/>
            <color indexed="81"/>
            <rFont val="Tahoma"/>
            <family val="2"/>
          </rPr>
          <t xml:space="preserve">When it comes to feed consumption - 
Australorps and Barred Plymouth Rocks are considered to be Dual Purpose breeds. 
Red and Black Sex Linked, and the ISA Brown are considered to be Commercial Brown Layers. 
The White Leghorn is considered to be a Commercial White Layer. </t>
        </r>
      </text>
    </comment>
    <comment ref="H55" authorId="1" shapeId="0" xr:uid="{00000000-0006-0000-0100-000006000000}">
      <text>
        <r>
          <rPr>
            <sz val="9"/>
            <color indexed="81"/>
            <rFont val="Tahoma"/>
            <family val="2"/>
          </rPr>
          <t xml:space="preserve">Here you can select how often the hens are rotated to fresh pasture. 
Never would most likely apply to producers utilizing stationary housing. However, stationary housing does not limit the user to "never" providing forage. 
The other options are explained in terms of how many days are in between rotations. </t>
        </r>
      </text>
    </comment>
    <comment ref="H58" authorId="0" shapeId="0" xr:uid="{00000000-0006-0000-0100-000007000000}">
      <text>
        <r>
          <rPr>
            <sz val="9"/>
            <color indexed="81"/>
            <rFont val="Tahoma"/>
            <family val="2"/>
          </rPr>
          <t xml:space="preserve">By deciding your skill as a producer, this cell changes some production efficiency data cells such as death loss and labor. 
The user can evaluate their own skill level based upon their years of experience and involvement with raising layers. </t>
        </r>
      </text>
    </comment>
    <comment ref="H68" authorId="0" shapeId="0" xr:uid="{00000000-0006-0000-0100-000008000000}">
      <text>
        <r>
          <rPr>
            <sz val="9"/>
            <color indexed="81"/>
            <rFont val="Tahoma"/>
            <family val="2"/>
          </rPr>
          <t xml:space="preserve">Decide if labor costs will be calculated into the budget and the hourly wage. The hourly wage is internally linked to each management style. 
If it is decided that labor is not going to be accounted for in the budget, the hourly wage will automatically change to $0.00 per hour. It is important to realize that the net profit still includes the cost of your labor and time, even though it is not accounted for. </t>
        </r>
      </text>
    </comment>
    <comment ref="H78" authorId="1" shapeId="0" xr:uid="{00000000-0006-0000-0100-000009000000}">
      <text>
        <r>
          <rPr>
            <sz val="9"/>
            <color indexed="81"/>
            <rFont val="Tahoma"/>
            <family val="2"/>
          </rPr>
          <t>These percentages come from:
https://edis.ifas.ufl.edu/PS029#IMAGE PS:PS029F2</t>
        </r>
      </text>
    </comment>
    <comment ref="M78" authorId="1" shapeId="0" xr:uid="{00000000-0006-0000-0100-00000A000000}">
      <text>
        <r>
          <rPr>
            <sz val="9"/>
            <color indexed="81"/>
            <rFont val="Tahoma"/>
            <family val="2"/>
          </rPr>
          <t xml:space="preserve">The mortality rates are higher before the birds reach 6 months of age. Rates vary by breed and producer skill level. </t>
        </r>
      </text>
    </comment>
    <comment ref="B89" authorId="1" shapeId="0" xr:uid="{00000000-0006-0000-0100-00000B000000}">
      <text>
        <r>
          <rPr>
            <sz val="9"/>
            <color indexed="81"/>
            <rFont val="Tahoma"/>
            <family val="2"/>
          </rPr>
          <t xml:space="preserve">This chart shows the mortality rates of birds that are older than 6 months and have started egg production. </t>
        </r>
      </text>
    </comment>
    <comment ref="B97" authorId="0" shapeId="0" xr:uid="{00000000-0006-0000-0100-00000C000000}">
      <text>
        <r>
          <rPr>
            <sz val="9"/>
            <color indexed="81"/>
            <rFont val="Tahoma"/>
            <family val="2"/>
          </rPr>
          <t xml:space="preserve">When looking at the percentage of the diet replaced by forage, it is important to consider how often the birds are given access to fresh forage. The more often they are exposed to fresh ground, the more potential they have of replacing their diet with forages and bugs. </t>
        </r>
      </text>
    </comment>
    <comment ref="G157" authorId="0" shapeId="0" xr:uid="{00000000-0006-0000-0100-00000D000000}">
      <text>
        <r>
          <rPr>
            <sz val="9"/>
            <color indexed="81"/>
            <rFont val="Tahoma"/>
            <family val="2"/>
          </rPr>
          <t xml:space="preserve">When looking at the percentage of the diet replaced by forage, it is important to consider how often the birds are given access to fresh forage.
Not Often - every 10 or more days
Often - approximately every 7 days
Very Often - every 3 days or less
Never is also an option, will indicate that 0% of the diet is replaced by forages.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Tech Bench x64</author>
  </authors>
  <commentList>
    <comment ref="B13" authorId="0" shapeId="0" xr:uid="{00000000-0006-0000-0200-000001000000}">
      <text>
        <r>
          <rPr>
            <sz val="9"/>
            <color indexed="81"/>
            <rFont val="Tahoma"/>
            <family val="2"/>
          </rPr>
          <t>Stocking rate and pen size can be found at the link provided here:
http://www2.ca.uky.edu/agc/pubs/ASC/ASC189/ASC189.pdf
For laying hens, 20 birds for a pen that is approximately 70 sq. feet. Includes nesting boxes.</t>
        </r>
      </text>
    </comment>
    <comment ref="B16" authorId="0" shapeId="0" xr:uid="{00000000-0006-0000-0200-000002000000}">
      <text>
        <r>
          <rPr>
            <sz val="9"/>
            <color indexed="81"/>
            <rFont val="Tahoma"/>
            <family val="2"/>
          </rPr>
          <t>http://www.southernsare.org/content/download/50676/665842/file/Profitable%20Poultry.pdf</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Samantha Kindred</author>
  </authors>
  <commentList>
    <comment ref="L5" authorId="0" shapeId="0" xr:uid="{00000000-0006-0000-0300-000001000000}">
      <text>
        <r>
          <rPr>
            <sz val="9"/>
            <color indexed="81"/>
            <rFont val="Tahoma"/>
            <family val="2"/>
          </rPr>
          <t xml:space="preserve">This chart shows the difference in egg production and returns based on mortality rate (resulting in decreased feed intake and egg production), as well as decreased laying as the birds age. It also includes income from culled birds.
While the Summary Chart shows the average of all of the production years, this chart breaks each year down individually. It is important to realize that it does not account for replacement birds, and is for the initial flock only. Due to decreased egg production with age, culling birds plays a significant role in maintaining revenue. </t>
        </r>
      </text>
    </comment>
    <comment ref="C7" authorId="0" shapeId="0" xr:uid="{00000000-0006-0000-0300-000002000000}">
      <text>
        <r>
          <rPr>
            <sz val="9"/>
            <color indexed="81"/>
            <rFont val="Tahoma"/>
            <family val="2"/>
          </rPr>
          <t xml:space="preserve">This is the death loss per year, after the birds have reached production age.
The death rate pre production (which will be much higher) is factored into the cost of the number of chicks that the user will need to buy to reach their goal number of layers. </t>
        </r>
      </text>
    </comment>
    <comment ref="G7" authorId="0" shapeId="0" xr:uid="{00000000-0006-0000-0300-000003000000}">
      <text>
        <r>
          <rPr>
            <sz val="9"/>
            <color indexed="81"/>
            <rFont val="Tahoma"/>
            <family val="2"/>
          </rPr>
          <t xml:space="preserve">The dressing percentage is the amount of carcass weight left after processing / by live weight X 100. </t>
        </r>
      </text>
    </comment>
    <comment ref="C9" authorId="0" shapeId="0" xr:uid="{00000000-0006-0000-0300-000004000000}">
      <text>
        <r>
          <rPr>
            <sz val="9"/>
            <color indexed="81"/>
            <rFont val="Tahoma"/>
            <family val="2"/>
          </rPr>
          <t xml:space="preserve">The "lifetime" of the bird is defined as how many years the bird will be kept after the bird has started producing eggs, when it might be 6 months of age or more. </t>
        </r>
      </text>
    </comment>
    <comment ref="C10" authorId="0" shapeId="0" xr:uid="{00000000-0006-0000-0300-000005000000}">
      <text>
        <r>
          <rPr>
            <sz val="9"/>
            <color indexed="81"/>
            <rFont val="Tahoma"/>
            <family val="2"/>
          </rPr>
          <t xml:space="preserve">This is calculated depending on the total number of eggs produced in the first year of production and the lifetime of the bird.
The longer a bird is kept the lower it's overall yearly average egg production will be as the production levels drop with age. </t>
        </r>
      </text>
    </comment>
    <comment ref="G10" authorId="0" shapeId="0" xr:uid="{00000000-0006-0000-0300-000006000000}">
      <text>
        <r>
          <rPr>
            <sz val="9"/>
            <color indexed="81"/>
            <rFont val="Tahoma"/>
            <family val="2"/>
          </rPr>
          <t>Eggs lost because of they were cracked, dropped, too dirty,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Samantha Kindred</author>
  </authors>
  <commentList>
    <comment ref="K37" authorId="0" shapeId="0" xr:uid="{00000000-0006-0000-0400-000001000000}">
      <text>
        <r>
          <rPr>
            <sz val="9"/>
            <color indexed="81"/>
            <rFont val="Tahoma"/>
            <family val="2"/>
          </rPr>
          <t xml:space="preserve">
This includes the pounds of feed to maturity, averaged over the productive years, if applicable (if they buy chicks).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Samantha Kindred</author>
  </authors>
  <commentList>
    <comment ref="K50" authorId="0" shapeId="0" xr:uid="{00000000-0006-0000-0500-000001000000}">
      <text>
        <r>
          <rPr>
            <sz val="9"/>
            <color indexed="81"/>
            <rFont val="Tahoma"/>
            <family val="2"/>
          </rPr>
          <t xml:space="preserve">
This includes the pounds of feed to maturity, averaged over the productive years, if applicable (if they buy chicks).</t>
        </r>
      </text>
    </comment>
  </commentList>
</comments>
</file>

<file path=xl/sharedStrings.xml><?xml version="1.0" encoding="utf-8"?>
<sst xmlns="http://schemas.openxmlformats.org/spreadsheetml/2006/main" count="910" uniqueCount="577">
  <si>
    <t>Yes</t>
  </si>
  <si>
    <t>Novice</t>
  </si>
  <si>
    <t>Projected Costs and Returns</t>
  </si>
  <si>
    <t>Amount</t>
  </si>
  <si>
    <t>Unit</t>
  </si>
  <si>
    <t>Feed</t>
  </si>
  <si>
    <t>Bedding</t>
  </si>
  <si>
    <t>Maintenance &amp; Repair</t>
  </si>
  <si>
    <t>Other</t>
  </si>
  <si>
    <t>Pasture Management</t>
  </si>
  <si>
    <t>Chicken Tractor</t>
  </si>
  <si>
    <t>Brooder</t>
  </si>
  <si>
    <t>Coop</t>
  </si>
  <si>
    <t>Heat Lamps</t>
  </si>
  <si>
    <t>Hoop House</t>
  </si>
  <si>
    <t>Refrigerator</t>
  </si>
  <si>
    <t>Breed</t>
  </si>
  <si>
    <t>Started Pullets</t>
  </si>
  <si>
    <t>Years of Production</t>
  </si>
  <si>
    <t>Pastured</t>
  </si>
  <si>
    <t>Packaging Weight (lb)</t>
  </si>
  <si>
    <t>Cart</t>
  </si>
  <si>
    <t>Dolly</t>
  </si>
  <si>
    <t>Scale</t>
  </si>
  <si>
    <t>Egg Basket</t>
  </si>
  <si>
    <t>Dozen</t>
  </si>
  <si>
    <t>Bird</t>
  </si>
  <si>
    <t>Pound</t>
  </si>
  <si>
    <t>FEED INTAKE CHART</t>
  </si>
  <si>
    <t>Age (weeks)</t>
  </si>
  <si>
    <t>Body Weight</t>
  </si>
  <si>
    <t>Total Feed Intake</t>
  </si>
  <si>
    <t>F:G</t>
  </si>
  <si>
    <t>50 lb bags</t>
  </si>
  <si>
    <t>Total lbs</t>
  </si>
  <si>
    <t>Per bird</t>
  </si>
  <si>
    <t>25 Replacements</t>
  </si>
  <si>
    <t>Bird/month</t>
  </si>
  <si>
    <t>25 Laying Hens</t>
  </si>
  <si>
    <t>Dual purpose (20 wks)</t>
  </si>
  <si>
    <t>Feed consumption for leghorns, production type breed</t>
  </si>
  <si>
    <t>X</t>
  </si>
  <si>
    <t>X^2</t>
  </si>
  <si>
    <t>Weight</t>
  </si>
  <si>
    <t>Day Old Chicks</t>
  </si>
  <si>
    <t>Hoop Houses</t>
  </si>
  <si>
    <t>Chick Feeder</t>
  </si>
  <si>
    <t>Chick Waterer</t>
  </si>
  <si>
    <t>Adult Feeder</t>
  </si>
  <si>
    <t>Adult Waterer</t>
  </si>
  <si>
    <t>Forage Replacement</t>
  </si>
  <si>
    <t>Per Day</t>
  </si>
  <si>
    <t>Commercial Brown</t>
  </si>
  <si>
    <t>Commercial White</t>
  </si>
  <si>
    <t>Commercial Brown (18)</t>
  </si>
  <si>
    <t>Dual purpose</t>
  </si>
  <si>
    <t>Lbs per week</t>
  </si>
  <si>
    <t>week</t>
  </si>
  <si>
    <t>FC</t>
  </si>
  <si>
    <t>http://cccfeeds.com/assets/files/Resources/Poultry/Layer_Low_Res_%20RGB_Sept_2009.pdf</t>
  </si>
  <si>
    <t>per week</t>
  </si>
  <si>
    <t>per day</t>
  </si>
  <si>
    <t xml:space="preserve">to pound of meat. </t>
  </si>
  <si>
    <t>other FCR for layers use eggs laid</t>
  </si>
  <si>
    <t>should I change that?</t>
  </si>
  <si>
    <t>I think it should be based on age</t>
  </si>
  <si>
    <t>birds could reach 200 weeks easy</t>
  </si>
  <si>
    <t>weight X^2</t>
  </si>
  <si>
    <t>weeks ^2</t>
  </si>
  <si>
    <t>Intermediate</t>
  </si>
  <si>
    <t>Expert</t>
  </si>
  <si>
    <t>Production</t>
  </si>
  <si>
    <t>Dual Purpose</t>
  </si>
  <si>
    <t>First Year Production</t>
  </si>
  <si>
    <t>Labor (Minutes per Day)</t>
  </si>
  <si>
    <t>Forage Replacement (%)</t>
  </si>
  <si>
    <t>Commercial White (18)</t>
  </si>
  <si>
    <t>Ch. Tractor</t>
  </si>
  <si>
    <t>Weeks to Laying Age</t>
  </si>
  <si>
    <t>Red Sex Linked</t>
  </si>
  <si>
    <t>No</t>
  </si>
  <si>
    <t>Bag</t>
  </si>
  <si>
    <t>Total Cost</t>
  </si>
  <si>
    <t>Birds per Item</t>
  </si>
  <si>
    <t>White Leghorn</t>
  </si>
  <si>
    <t>Total Expected Gross Returns per Year</t>
  </si>
  <si>
    <t>Variable Costs per Year</t>
  </si>
  <si>
    <t>Total Variable Costs per Year</t>
  </si>
  <si>
    <t>Fixed Costs per Year</t>
  </si>
  <si>
    <t>Total Fixed Costs per Year</t>
  </si>
  <si>
    <t>Avg Eggs per Bird per Year</t>
  </si>
  <si>
    <t>Year 3</t>
  </si>
  <si>
    <t>Year 2</t>
  </si>
  <si>
    <t>Year 1</t>
  </si>
  <si>
    <t>Chicken Wire</t>
  </si>
  <si>
    <t>Poly Netting</t>
  </si>
  <si>
    <t>Not Often</t>
  </si>
  <si>
    <t>Often</t>
  </si>
  <si>
    <t>Very Often</t>
  </si>
  <si>
    <t>Eggs per Year</t>
  </si>
  <si>
    <t>Expected Gross Returns per Year</t>
  </si>
  <si>
    <t>% of 1st Year's Production</t>
  </si>
  <si>
    <t>Productive Years per Bird</t>
  </si>
  <si>
    <t>YEAR 1</t>
  </si>
  <si>
    <t>YEAR 2</t>
  </si>
  <si>
    <t>YEAR 3</t>
  </si>
  <si>
    <t>Stationary</t>
  </si>
  <si>
    <t>Mobile</t>
  </si>
  <si>
    <t>http://www2.ca.uky.edu/agc/pubs/ASC/ASC191/ASC191.pdf</t>
  </si>
  <si>
    <t>None</t>
  </si>
  <si>
    <t>Adult Live Weight (lbs)</t>
  </si>
  <si>
    <t>Feed Bin</t>
  </si>
  <si>
    <t>Larger Depreciable Items</t>
  </si>
  <si>
    <t>Smaller Depreciable Items</t>
  </si>
  <si>
    <t>Sale Price</t>
  </si>
  <si>
    <t>Cost / Flock</t>
  </si>
  <si>
    <t>Total Depreciable Costs</t>
  </si>
  <si>
    <t>The chart about eggs produced 1st year and following years</t>
  </si>
  <si>
    <t>the labort for harvest, cleaning, packaging and marketing</t>
  </si>
  <si>
    <t>Do we need in clude transportation?</t>
  </si>
  <si>
    <t>Include the supplies for eggs, like washing equipment, cartons, labels</t>
  </si>
  <si>
    <t>Maybe completely show the dozens per year for the whole flock (like in the years sheet)</t>
  </si>
  <si>
    <t xml:space="preserve">To Do </t>
  </si>
  <si>
    <t>Daily</t>
  </si>
  <si>
    <t>Weekly</t>
  </si>
  <si>
    <t>% of Culls NOT Sold</t>
  </si>
  <si>
    <t>When Making Changes</t>
  </si>
  <si>
    <t xml:space="preserve"> If you change the name of any of the options in the drop down boxes, it is CRUCIAL to check all of the related equations.</t>
  </si>
  <si>
    <t>Sometimes an error message does NOT show up, but if we don't change the cooresponding cells/equations, there will be errors in calculation.</t>
  </si>
  <si>
    <t xml:space="preserve">Include the cost per bird to the summary sheets and depreciable items sheets, if people think it would be helpful. </t>
  </si>
  <si>
    <t>My Own</t>
  </si>
  <si>
    <t>% of Eggs NOT Sold</t>
  </si>
  <si>
    <t>Ton</t>
  </si>
  <si>
    <t>Need costs for</t>
  </si>
  <si>
    <t xml:space="preserve">   - Marketing</t>
  </si>
  <si>
    <t xml:space="preserve">   - Maintenance and repair</t>
  </si>
  <si>
    <t xml:space="preserve">   - Other, which includes utilites, insurance, interest, etc.. </t>
  </si>
  <si>
    <t>What are good estimates for labor?</t>
  </si>
  <si>
    <t>Do we need to include a transportation category?</t>
  </si>
  <si>
    <t xml:space="preserve">   - Probably yes… But is it likely that eggs will be transported with another product?</t>
  </si>
  <si>
    <t xml:space="preserve">   - Pasture Management</t>
  </si>
  <si>
    <t xml:space="preserve">   - Need to include daily chores, egg washing, marketing, maybe transportation?</t>
  </si>
  <si>
    <t>Things to include on (future/possible) the egg sheet</t>
  </si>
  <si>
    <t>For more information, contact:</t>
  </si>
  <si>
    <t>Samantha Kindred</t>
  </si>
  <si>
    <t>Greg Halich</t>
  </si>
  <si>
    <t>Extension Associate</t>
  </si>
  <si>
    <t>Samantha.Kindred@uky.edu</t>
  </si>
  <si>
    <t>Greg.Halich@uky.edu</t>
  </si>
  <si>
    <t>859-257-2996</t>
  </si>
  <si>
    <t>859-257-8841</t>
  </si>
  <si>
    <t xml:space="preserve">  - Get realistic estimates for forage replacement</t>
  </si>
  <si>
    <t xml:space="preserve">  - Evaluate the best way to apply the forage replacement percentage : Does it affect the feed intake or the ADG more?</t>
  </si>
  <si>
    <t xml:space="preserve"> - Todd's birds ate the same amount of concentrate, but weighed more at harvest day, with short forage</t>
  </si>
  <si>
    <t xml:space="preserve">Give users the ability to change the number (%) of birds culled per year. Right now we are assuming all in, all out. </t>
  </si>
  <si>
    <t>Purpose:</t>
  </si>
  <si>
    <t>Options Evaluated:</t>
  </si>
  <si>
    <t>General Instructions:</t>
  </si>
  <si>
    <t>Notes for Specific Sheets</t>
  </si>
  <si>
    <t>Production Data:</t>
  </si>
  <si>
    <t>Depreciable Items:</t>
  </si>
  <si>
    <t>Mobile/Stationary:</t>
  </si>
  <si>
    <t>This decision tool was developed to assist current and potential producers with estimating their costs and returns for a small scale layer enterprise.</t>
  </si>
  <si>
    <t>Notes:</t>
  </si>
  <si>
    <t>Dressing %</t>
  </si>
  <si>
    <t>Eggs Sold Wholesale:</t>
  </si>
  <si>
    <t>Eggs Sold Retail:</t>
  </si>
  <si>
    <t>Guardian Dog</t>
  </si>
  <si>
    <t>http://www.isapoultry.com/en/products/</t>
  </si>
  <si>
    <t>Age (wk)</t>
  </si>
  <si>
    <t>Body weight (g)</t>
  </si>
  <si>
    <t>Feed consumption (g/bird/day)</t>
  </si>
  <si>
    <t>870-970</t>
  </si>
  <si>
    <t>960-1080</t>
  </si>
  <si>
    <t>1050-1117</t>
  </si>
  <si>
    <t>1130-1250</t>
  </si>
  <si>
    <t>1210-1310</t>
  </si>
  <si>
    <t>1290-1370</t>
  </si>
  <si>
    <t>1360-1430</t>
  </si>
  <si>
    <t>1500-1540</t>
  </si>
  <si>
    <t>grams to pounds</t>
  </si>
  <si>
    <t>Body weight (lb)</t>
  </si>
  <si>
    <t>Feed consumption (lb/bird/day)</t>
  </si>
  <si>
    <t>http://www.poultryhub.org/nutrition/nutrient-requirements/nutrient-requirements-of-egg-laying-chickens/</t>
  </si>
  <si>
    <t>Body weights and associated feed consumption for a brown-egg laying breed during the growing period</t>
  </si>
  <si>
    <t>Feed cons. per week</t>
  </si>
  <si>
    <t>Total feed consumption at 17 weeks</t>
  </si>
  <si>
    <t>weeks to production age (laying 50% of capacity)</t>
  </si>
  <si>
    <t>lbs/day food consumption</t>
  </si>
  <si>
    <t>Age</t>
  </si>
  <si>
    <t>Body Weight (lbs)</t>
  </si>
  <si>
    <t>Feed (lbs)</t>
  </si>
  <si>
    <t>Cumulative Feed (lbs)</t>
  </si>
  <si>
    <t>Dual purpose, brown egg layers</t>
  </si>
  <si>
    <t>Leghorns, white egg layers</t>
  </si>
  <si>
    <t>per day or</t>
  </si>
  <si>
    <t>year</t>
  </si>
  <si>
    <t>month</t>
  </si>
  <si>
    <t>http://animals.mom.me/many-pounds-food-laying-hen-eat-day-5860.html</t>
  </si>
  <si>
    <t>http://www.extension.org/pages/69065/feeding-chickens-for-egg-production#.VjpnyrerTIU</t>
  </si>
  <si>
    <t>FEED</t>
  </si>
  <si>
    <t>PROTEIN LEVEL (%)</t>
  </si>
  <si>
    <t>AGE OF BIRDS</t>
  </si>
  <si>
    <t>FEED INTAKE/10 BIRDS/ AGE PERIOD</t>
  </si>
  <si>
    <t>Chick starter</t>
  </si>
  <si>
    <t>20-22</t>
  </si>
  <si>
    <t>0-6 weeks</t>
  </si>
  <si>
    <t>20-29 lbs</t>
  </si>
  <si>
    <t>Pullet grower</t>
  </si>
  <si>
    <t>14-16</t>
  </si>
  <si>
    <t>6-20 weeks</t>
  </si>
  <si>
    <t>120-130 lbs</t>
  </si>
  <si>
    <t>Layer</t>
  </si>
  <si>
    <t>15-18</t>
  </si>
  <si>
    <t>20 weeks on</t>
  </si>
  <si>
    <t>18-24 lbs/week</t>
  </si>
  <si>
    <t>All purpose*</t>
  </si>
  <si>
    <t>All ages</t>
  </si>
  <si>
    <t>per bird per week</t>
  </si>
  <si>
    <t>per bird per day for time period</t>
  </si>
  <si>
    <t>per bird per day</t>
  </si>
  <si>
    <t xml:space="preserve">on the LOW side - </t>
  </si>
  <si>
    <t xml:space="preserve">on the HIGH side - </t>
  </si>
  <si>
    <r>
      <t>as an adult, for</t>
    </r>
    <r>
      <rPr>
        <i/>
        <sz val="11"/>
        <color theme="1"/>
        <rFont val="Calibri"/>
        <family val="2"/>
        <scheme val="minor"/>
      </rPr>
      <t xml:space="preserve"> commercial type birds</t>
    </r>
  </si>
  <si>
    <t>total feed consumption for bird for 20 weeks</t>
  </si>
  <si>
    <t>http://www.cccfeeds.com/assets/files/Resources/Poultry/Layer_Low_Res_%20RGB_Sept_2009.pdf</t>
  </si>
  <si>
    <t>age in weeks</t>
  </si>
  <si>
    <t>Weight in lbs</t>
  </si>
  <si>
    <t>Total consumption lbs</t>
  </si>
  <si>
    <t>Pullet weights, large egg size birds</t>
  </si>
  <si>
    <t>expected and measure performance of HyLine W-98</t>
  </si>
  <si>
    <t>these are definitely commercial type birds, not sure on the exact mix</t>
  </si>
  <si>
    <t>Hidden rows on the production data sheet for forage replacement and labor. Check row 129</t>
  </si>
  <si>
    <t xml:space="preserve">This mortality rate is the percentage of the birds that survived the brooder. </t>
  </si>
  <si>
    <t>Suggested # of Items</t>
  </si>
  <si>
    <t>Cost per Unit</t>
  </si>
  <si>
    <t>Use Suggested</t>
  </si>
  <si>
    <t>Enter Below</t>
  </si>
  <si>
    <t>Use the suggested number of items or enter below?</t>
  </si>
  <si>
    <t>Production Labor (hrs)</t>
  </si>
  <si>
    <t>Marketing Supplies</t>
  </si>
  <si>
    <t>See Table 3 for more information.</t>
  </si>
  <si>
    <t>See Table 4 for more information.</t>
  </si>
  <si>
    <t>See Table 5 for more information.</t>
  </si>
  <si>
    <t>This category includes promotional items such as signage, car decals, bags, etc.</t>
  </si>
  <si>
    <t>The recommended stocking density for a brooder is 0.25 square feet per chicks</t>
  </si>
  <si>
    <t>The cart is for taking feed out to birds, moving fencing supplies, etc.</t>
  </si>
  <si>
    <t xml:space="preserve">A dolly is a common method of moving hoop houses. </t>
  </si>
  <si>
    <t>Revenue</t>
  </si>
  <si>
    <t>Barred Plymouth Rock</t>
  </si>
  <si>
    <t>Australorp</t>
  </si>
  <si>
    <t>Black Sex Linked</t>
  </si>
  <si>
    <t>ISA Brown</t>
  </si>
  <si>
    <t>300+</t>
  </si>
  <si>
    <t>250-300</t>
  </si>
  <si>
    <t>200-280</t>
  </si>
  <si>
    <t>4/wk</t>
  </si>
  <si>
    <t>250+</t>
  </si>
  <si>
    <t>18-20</t>
  </si>
  <si>
    <t>22-24</t>
  </si>
  <si>
    <t>200-250</t>
  </si>
  <si>
    <t>5/wk</t>
  </si>
  <si>
    <t>6/wk</t>
  </si>
  <si>
    <t>3/wk</t>
  </si>
  <si>
    <t>http://www.eggzy.net/breeds/index/page:6</t>
  </si>
  <si>
    <t>17-18</t>
  </si>
  <si>
    <t>280-320</t>
  </si>
  <si>
    <t>Marketing (not labor)</t>
  </si>
  <si>
    <t>Marketing (hrs)</t>
  </si>
  <si>
    <t>Biweekly</t>
  </si>
  <si>
    <t>Fencing Supplies</t>
  </si>
  <si>
    <t>Production Type</t>
  </si>
  <si>
    <t>Use the suggested depreciable life or enter below?</t>
  </si>
  <si>
    <t>Suggested Useful Life</t>
  </si>
  <si>
    <t>Entered Useful Life</t>
  </si>
  <si>
    <t>lbs</t>
  </si>
  <si>
    <t>Yearly Egg Production and Profits (in dozens)</t>
  </si>
  <si>
    <t>Pastured Based Laying Hens Decision Aid</t>
  </si>
  <si>
    <t>Entered # of Items</t>
  </si>
  <si>
    <t>Table 1: Production Data by Breed</t>
  </si>
  <si>
    <t>Table 2: Egg Production</t>
  </si>
  <si>
    <t>Table 5: Forage Replacement (%)</t>
  </si>
  <si>
    <t>Table 3: Mortality Rates (%) Pre-Production Age</t>
  </si>
  <si>
    <t>Table 4: Mortality Rates (%) Post-Production Age</t>
  </si>
  <si>
    <t>Interest</t>
  </si>
  <si>
    <t>Cost / Unit</t>
  </si>
  <si>
    <t>Dog Maintenance</t>
  </si>
  <si>
    <t>Interest rate:</t>
  </si>
  <si>
    <t>Include an interest rate for the depreciable items?</t>
  </si>
  <si>
    <t>Brown Eggs</t>
  </si>
  <si>
    <t>White Eggs</t>
  </si>
  <si>
    <t xml:space="preserve">See Table 1 below for estimates on annual egg production. </t>
  </si>
  <si>
    <t>Heat lamps, waterers, feeders, marketing supplies, egg washing equipment, cart, and dolly if applicable.</t>
  </si>
  <si>
    <t>Total Eggs per Bird, Year 1</t>
  </si>
  <si>
    <t>Total Fixed and Variable Costs per Year</t>
  </si>
  <si>
    <t>This includes income from cull birds.</t>
  </si>
  <si>
    <t>Return over Variable Costs</t>
  </si>
  <si>
    <t>Wire and Netting</t>
  </si>
  <si>
    <t>If "Stationary" the user gets all option of fencing</t>
  </si>
  <si>
    <t>If "Mobile" the user only gets the option for ply netting or No fencing</t>
  </si>
  <si>
    <t>Cull Birds Sold Live:</t>
  </si>
  <si>
    <t>Cull Birds Sold Packaged:</t>
  </si>
  <si>
    <t>Net Profit</t>
  </si>
  <si>
    <t>Dozens of Eggs</t>
  </si>
  <si>
    <t>Mortality Rate per Year</t>
  </si>
  <si>
    <t xml:space="preserve">Includes housing and fencing; also includes the initial cost of the feed bin if applicable. </t>
  </si>
  <si>
    <t>Finished Live Weight (lb)</t>
  </si>
  <si>
    <t>Multiplier for mortality rate per year</t>
  </si>
  <si>
    <t>Mortality Rate, Year 1 (adult)</t>
  </si>
  <si>
    <t>Cartons &amp; Labels</t>
  </si>
  <si>
    <r>
      <t xml:space="preserve">Choose a housing type for your layer enterprise. </t>
    </r>
    <r>
      <rPr>
        <i/>
        <sz val="10"/>
        <color theme="1"/>
        <rFont val="Arial"/>
        <family val="2"/>
      </rPr>
      <t>(Select one)</t>
    </r>
  </si>
  <si>
    <r>
      <t xml:space="preserve">What type of fencing is provided for the hens? </t>
    </r>
    <r>
      <rPr>
        <i/>
        <sz val="10"/>
        <rFont val="Arial"/>
        <family val="2"/>
      </rPr>
      <t>(Select one)</t>
    </r>
  </si>
  <si>
    <r>
      <t>Choose a breed of laying hen for your enterprise.</t>
    </r>
    <r>
      <rPr>
        <i/>
        <sz val="10"/>
        <rFont val="Arial"/>
        <family val="2"/>
      </rPr>
      <t xml:space="preserve"> (Select one)</t>
    </r>
  </si>
  <si>
    <r>
      <t xml:space="preserve">How do you purchase your feed? </t>
    </r>
    <r>
      <rPr>
        <i/>
        <sz val="10"/>
        <color theme="1"/>
        <rFont val="Arial"/>
        <family val="2"/>
      </rPr>
      <t>(Select one)</t>
    </r>
  </si>
  <si>
    <r>
      <t xml:space="preserve">Use the estimated forage replacement or enter your own? </t>
    </r>
    <r>
      <rPr>
        <i/>
        <sz val="10"/>
        <color theme="1"/>
        <rFont val="Arial"/>
        <family val="2"/>
      </rPr>
      <t>(Select one)</t>
    </r>
  </si>
  <si>
    <r>
      <t>Would you like to include labor costs in the budget?</t>
    </r>
    <r>
      <rPr>
        <i/>
        <sz val="10"/>
        <color theme="1"/>
        <rFont val="Arial"/>
        <family val="2"/>
      </rPr>
      <t xml:space="preserve"> (Select one)</t>
    </r>
  </si>
  <si>
    <t>Total Smaller Depreciable Items Cost</t>
  </si>
  <si>
    <t>Egg Washing Equipment</t>
  </si>
  <si>
    <t>Egg Production and Feed Consumption</t>
  </si>
  <si>
    <t>Number of Layers</t>
  </si>
  <si>
    <t>Eggs per Bird</t>
  </si>
  <si>
    <t>Eggs 1/2 Year</t>
  </si>
  <si>
    <t>Dozens 1/2 Year</t>
  </si>
  <si>
    <t>Total Eggs</t>
  </si>
  <si>
    <t>Total Dozens</t>
  </si>
  <si>
    <t>Average Dozens</t>
  </si>
  <si>
    <t>1.5 years</t>
  </si>
  <si>
    <t>2 years</t>
  </si>
  <si>
    <t>2.5 years</t>
  </si>
  <si>
    <t>3 years</t>
  </si>
  <si>
    <t>1 year</t>
  </si>
  <si>
    <t>Cull Birds</t>
  </si>
  <si>
    <t>Egg Production</t>
  </si>
  <si>
    <t>% of 1st Year Production</t>
  </si>
  <si>
    <t>Number of Chicks</t>
  </si>
  <si>
    <t>Birds 1st "Productive Year"</t>
  </si>
  <si>
    <t>Total Feed/Live Birds</t>
  </si>
  <si>
    <t>Total Feed/Dead Birds</t>
  </si>
  <si>
    <t>Total Feed to Maturity</t>
  </si>
  <si>
    <t xml:space="preserve">assuming birds die halfway through, most will die sooner. </t>
  </si>
  <si>
    <t>to get the birds to 6 months of age</t>
  </si>
  <si>
    <t>If Buying Chicks</t>
  </si>
  <si>
    <t>If Buying Started Pullets</t>
  </si>
  <si>
    <t>Mortality Rate, preproduction</t>
  </si>
  <si>
    <t>Mortality Rate</t>
  </si>
  <si>
    <t># of Layers</t>
  </si>
  <si>
    <t>minutes/day</t>
  </si>
  <si>
    <t>hours/year</t>
  </si>
  <si>
    <t>Number of Mature Layers</t>
  </si>
  <si>
    <t>Mortality Rate (pre-production)</t>
  </si>
  <si>
    <t xml:space="preserve">This is the cost per packaged pound. </t>
  </si>
  <si>
    <t xml:space="preserve">Coop </t>
  </si>
  <si>
    <t>Fencing, Wire</t>
  </si>
  <si>
    <t>Twice per Week</t>
  </si>
  <si>
    <t>Less Frequently</t>
  </si>
  <si>
    <t xml:space="preserve">Enter the variable costs per year per Livestock Guardian Dog, such as the feed and vet bills. </t>
  </si>
  <si>
    <t>Total Culls:</t>
  </si>
  <si>
    <r>
      <t>Use estimated mortality rate for</t>
    </r>
    <r>
      <rPr>
        <i/>
        <sz val="10"/>
        <color theme="1"/>
        <rFont val="Arial"/>
        <family val="2"/>
      </rPr>
      <t xml:space="preserve"> pre production </t>
    </r>
    <r>
      <rPr>
        <sz val="10"/>
        <color theme="1"/>
        <rFont val="Arial"/>
        <family val="2"/>
      </rPr>
      <t xml:space="preserve">age or enter your own? </t>
    </r>
    <r>
      <rPr>
        <i/>
        <sz val="10"/>
        <color theme="1"/>
        <rFont val="Arial"/>
        <family val="2"/>
      </rPr>
      <t>(Select one)</t>
    </r>
  </si>
  <si>
    <r>
      <t xml:space="preserve">Use estimated </t>
    </r>
    <r>
      <rPr>
        <i/>
        <sz val="10"/>
        <color theme="1"/>
        <rFont val="Arial"/>
        <family val="2"/>
      </rPr>
      <t>adult</t>
    </r>
    <r>
      <rPr>
        <sz val="10"/>
        <color theme="1"/>
        <rFont val="Arial"/>
        <family val="2"/>
      </rPr>
      <t xml:space="preserve"> mortality rate or enter your own? </t>
    </r>
    <r>
      <rPr>
        <i/>
        <sz val="10"/>
        <color theme="1"/>
        <rFont val="Arial"/>
        <family val="2"/>
      </rPr>
      <t>(Select one)</t>
    </r>
  </si>
  <si>
    <t>Minimum number of birds for refrigerator and guardian</t>
  </si>
  <si>
    <t>Adult Weight (lb)</t>
  </si>
  <si>
    <t xml:space="preserve">Culls are undesirable birds removed from the flock and processed, maybe due to age or lack of productivity. </t>
  </si>
  <si>
    <t>Eggs per Bird, 1st year</t>
  </si>
  <si>
    <t>Fencing, Poly Netting Rolls</t>
  </si>
  <si>
    <t>Associate Extension Professor</t>
  </si>
  <si>
    <t xml:space="preserve">Other </t>
  </si>
  <si>
    <t>Cost / Dozen Eggs</t>
  </si>
  <si>
    <t>Avg Lbs of Feed per Bird per Year</t>
  </si>
  <si>
    <t>Lbs of Feed per Flock per Year</t>
  </si>
  <si>
    <t>Avg Lbs of Feed per Flock per Year</t>
  </si>
  <si>
    <t>Lbs of Feed per Flock per 1/2 Year</t>
  </si>
  <si>
    <t>Feed to Maturity (lbs)</t>
  </si>
  <si>
    <t>Lbs of Feed per Bird to Maturity</t>
  </si>
  <si>
    <t>http://www2.ca.uky.edu/agcomm/pubs/asc/asc191/asc191.pdf</t>
  </si>
  <si>
    <t>pounds per day</t>
  </si>
  <si>
    <t>Lbs of Feed per Day per Adult</t>
  </si>
  <si>
    <t>Commercial White Egg Layer</t>
  </si>
  <si>
    <t>Dual Purpose Egg Layer</t>
  </si>
  <si>
    <t>Commercial Brown Egg Layer</t>
  </si>
  <si>
    <t>Commerial Brown Egg Layer</t>
  </si>
  <si>
    <t>Dual Purpose Layer</t>
  </si>
  <si>
    <t>Type of Layer Chosen:</t>
  </si>
  <si>
    <t>to 18 weeks</t>
  </si>
  <si>
    <t>to 20 weeks</t>
  </si>
  <si>
    <t>pounds of feed it takes to reach laying age</t>
  </si>
  <si>
    <t>Suggested</t>
  </si>
  <si>
    <t>Entered</t>
  </si>
  <si>
    <t>Lbs of Feed per Bird per Productive Year</t>
  </si>
  <si>
    <t>Feed Consumption (Chicks)</t>
  </si>
  <si>
    <t>Feed Consumption (J. Jacobs)</t>
  </si>
  <si>
    <t xml:space="preserve">Cells with blue font can be changed by the user. The sheets are linked internally, when a change is made in one sheet, it will automatically update the others. Be sure to read notes provided to the right of each chart. Cells with red triangles in the upper right hand corner contain comments with more information. </t>
  </si>
  <si>
    <t xml:space="preserve">This sheet combines all of the data from the previous sheets into a summary that includes the production data, as well as estimated costs and returns. Few changes can be made to this sheet. </t>
  </si>
  <si>
    <t>These percentages come from: https://edis.ifas.ufl.edu/PS029#IMAGE PS:PS029F2</t>
  </si>
  <si>
    <r>
      <t xml:space="preserve">Use estimated feed consumption or enter your own? </t>
    </r>
    <r>
      <rPr>
        <i/>
        <sz val="10"/>
        <rFont val="Arial"/>
        <family val="2"/>
      </rPr>
      <t>(Select one)</t>
    </r>
  </si>
  <si>
    <t>this is based off of the breed chosen on the Production Data sheet</t>
  </si>
  <si>
    <t xml:space="preserve">Suggested amount of feed per bird per productive year accounts for mortality rate, and is for the first year only. </t>
  </si>
  <si>
    <t xml:space="preserve">Suggested amount of feed to maturity accounts for the excess birds purchased to reach production goal, as well as death loss. </t>
  </si>
  <si>
    <t>This mortality rate is the percentage of the chicks originally purchased.</t>
  </si>
  <si>
    <t xml:space="preserve">White Leghorn and ISA Brown are considered production types, and other breeds are dual purpose. </t>
  </si>
  <si>
    <t xml:space="preserve">White Leghorn and ISA Brown are considered production types, and the other breeds are dual purpose. </t>
  </si>
  <si>
    <t>It is recommended to have a small percentage of eggs not sold for eggs that may be cracked, too dirty, or too small, etc.</t>
  </si>
  <si>
    <t>Forage replacement is the amount of concentrated feed replaced by pasture, including grasses, legumes, insects, etc.</t>
  </si>
  <si>
    <t xml:space="preserve">The more frequently birds are given access to fresh pasture, the higher percentage of diet replacement. </t>
  </si>
  <si>
    <r>
      <t xml:space="preserve">How experienced do you consider yourself as a producer? </t>
    </r>
    <r>
      <rPr>
        <i/>
        <sz val="10"/>
        <color theme="1"/>
        <rFont val="Arial"/>
        <family val="2"/>
      </rPr>
      <t>(Select one)</t>
    </r>
  </si>
  <si>
    <t>Interest Cost per Year</t>
  </si>
  <si>
    <t>Lbs of Feed per Bird per Day (Suggested)</t>
  </si>
  <si>
    <t>For Summary Sheet</t>
  </si>
  <si>
    <t>Suggested Feed Consumption</t>
  </si>
  <si>
    <t>Entered Feed Consumption</t>
  </si>
  <si>
    <t xml:space="preserve">This has the most impact on the mortality rate for chicks and adult birds.  </t>
  </si>
  <si>
    <t xml:space="preserve">You can find a list of egg handling guidelines for Kentucky here, http://www.kyagr.com/consumer/documents/RI_EGG_SmallProducerGuide.pdf. If you are not located in KY, double check with your Department of Agriculture. </t>
  </si>
  <si>
    <t xml:space="preserve">You can find the labeling regulations for Kentucky here, http://www.kyagr.com/consumer/documents/RI_EGG_SmallProducerGuide.pdf. If you are not located in KY, please check with your Department of Agriculture. </t>
  </si>
  <si>
    <t xml:space="preserve">There are many places online to order cartons, including www.eggcartonstore.com. If your cartons are printed, enter $0.00 for labeling cost. </t>
  </si>
  <si>
    <t xml:space="preserve">This is the number of years the bird is kept for egg laying. If purchased as a chick, this does not include the first few months. </t>
  </si>
  <si>
    <t xml:space="preserve">These may be culls that are given away as samples, consumed by family, etc.. </t>
  </si>
  <si>
    <t xml:space="preserve">Select the type of housing that best describes your style of management. Stationary housing is less expensive in terms of management inputs, but less flexible with regard to rotation. Mobile housing provides more flexibility with the location, rotation, and forage replacement, but requires more management. </t>
  </si>
  <si>
    <t xml:space="preserve">The initial price of chicks is less, however they require more management, infrastructure, and supplies, and are likely to have a higher death rate while taking longer to reach maturity. It is important to weigh the costs and benefits of chicks and pullets depending on the size of your operation. </t>
  </si>
  <si>
    <t xml:space="preserve">Because of the volatility of the price of feed and its impact on production costs, please be sure to update this cost. </t>
  </si>
  <si>
    <t>This category includes miscellaneous supplies needed for fencing, other than the actual poly netting or chicken wire, such as a charger.</t>
  </si>
  <si>
    <t>Total Larger Depreciable Items Cost</t>
  </si>
  <si>
    <t xml:space="preserve">Accounts for forage replacement, death loss, and feeding the bird to maturity if applicable. </t>
  </si>
  <si>
    <t xml:space="preserve">Refrigerator and initial cost of the Guardian Dog if applicable. </t>
  </si>
  <si>
    <t xml:space="preserve">Accounts for shipping cost, death loss in the brooder if applicable, and the number of productive years. </t>
  </si>
  <si>
    <t xml:space="preserve">This may include costs such as farmer market or website fees, etc. that are paid on an annual basis. </t>
  </si>
  <si>
    <t xml:space="preserve">If you use the dog for other livestock or recreational purposes, you may not want to account for the full cost here. </t>
  </si>
  <si>
    <t xml:space="preserve">Land costs, insurances, and utilities charges. Check with your state Department of Agriculture to determine the guidelines for being licensed to sell eggs. </t>
  </si>
  <si>
    <t xml:space="preserve">Breed can have an effect on egg production, feed intake, mortality rate, forage replacement, etc. </t>
  </si>
  <si>
    <t>As an example, Southern States requires a 3 ton minimum purchase for the feed to be bulk ordered, otherwise it comes in 50 pounds bags.</t>
  </si>
  <si>
    <t>Depreciable Items</t>
  </si>
  <si>
    <t xml:space="preserve">See Table 1 below for estimates on adult live weight. </t>
  </si>
  <si>
    <t xml:space="preserve">This chart shows the significant effects of decreased egg production and mortality rate on the net profit for each year the hen is kept. See the "comment" above (by hovering your mouse over the title of the table) for more details.  </t>
  </si>
  <si>
    <t>Mortality rate for pullets is 0.0% because birds are purchased within a few weeks of produciton age</t>
  </si>
  <si>
    <t xml:space="preserve">Shipping cost varies greatly depending on distance, as well as the number and size of the birds. Some hatcheries do not ship, but allow for pick up. </t>
  </si>
  <si>
    <t>Estimated</t>
  </si>
  <si>
    <t>Chick Labor (hrs)</t>
  </si>
  <si>
    <t>Depreciation per Year</t>
  </si>
  <si>
    <t>Total Depreciation and Interest per Flock per Year</t>
  </si>
  <si>
    <t xml:space="preserve">dozens per year. This cell is used for the egg cartons and labels above, I needed it to round the total dozens, because otherwise a ton of decimal places appeared. </t>
  </si>
  <si>
    <t>Chicks and pullets can be ordered from www.moyerschicks.com, www.mcmurrayhatchery.com, www.cacklehatchery.com, www.meyerhatchery.com, and other catalogs.</t>
  </si>
  <si>
    <r>
      <t xml:space="preserve">     If "Mobile," which housing type is provided? </t>
    </r>
    <r>
      <rPr>
        <i/>
        <sz val="10"/>
        <color theme="1"/>
        <rFont val="Arial"/>
        <family val="2"/>
      </rPr>
      <t>(Select one)</t>
    </r>
  </si>
  <si>
    <t xml:space="preserve">     Enter the pounds per bag:</t>
  </si>
  <si>
    <t xml:space="preserve">     How often does the flock have access to fresh pasture?</t>
  </si>
  <si>
    <t xml:space="preserve">     Enter the minutes per day of labor spent with the chicks, until production age:</t>
  </si>
  <si>
    <t xml:space="preserve">     Enter the minutes per day of labor spent with the production flock:</t>
  </si>
  <si>
    <t xml:space="preserve">     Enter the total hours per year spent on marketing:</t>
  </si>
  <si>
    <t xml:space="preserve">     How many pounds of feed per bird does it take to reach maturity?</t>
  </si>
  <si>
    <t>Smaller Depr Items</t>
  </si>
  <si>
    <t xml:space="preserve">Carefully consider each of the questions provided on this sheet, and select the answer from the drop down list options that best describe your layer enterprise. Be sure to utilize the tables at the bottom of the sheet if you are unsure of what data to enter. </t>
  </si>
  <si>
    <t>Enter the initial cost for depreciable items, number of items, useful life, and interest rate. If there is an item on the list that you do not utilize, simply enter $0.00 under the Initial Cost. Do not be concerned by rows without any information. These have been appropriately updated depending on the answers provided on the Production Data sheet.</t>
  </si>
  <si>
    <t>Larger Depr Items - Facilities</t>
  </si>
  <si>
    <t>Larger Depr Items - Equipment</t>
  </si>
  <si>
    <t xml:space="preserve">The management style options are broken down into two categories: stationary and mobile housing. Beyond that the user has control over production data such as breed, mortality rate, feed intake, forage replacement, etc. The user can enter their own data or use the estimates provided by the budget. </t>
  </si>
  <si>
    <t>Eggs NOT Sold</t>
  </si>
  <si>
    <t>Culls Sold Live</t>
  </si>
  <si>
    <t>Culls Sold Packaged</t>
  </si>
  <si>
    <t>Culls NOT Sold</t>
  </si>
  <si>
    <t>Drop Down List Option</t>
  </si>
  <si>
    <t>Sheets</t>
  </si>
  <si>
    <t>Location/Cell</t>
  </si>
  <si>
    <t>Notes, Reasoning</t>
  </si>
  <si>
    <t>Production Data</t>
  </si>
  <si>
    <t>E5</t>
  </si>
  <si>
    <t>Production data</t>
  </si>
  <si>
    <t>H21</t>
  </si>
  <si>
    <t>H22</t>
  </si>
  <si>
    <t>H24</t>
  </si>
  <si>
    <t>H26</t>
  </si>
  <si>
    <t>H28</t>
  </si>
  <si>
    <t>H32</t>
  </si>
  <si>
    <t>H39</t>
  </si>
  <si>
    <t>H42</t>
  </si>
  <si>
    <t>H37</t>
  </si>
  <si>
    <t>H45</t>
  </si>
  <si>
    <t>H50</t>
  </si>
  <si>
    <t>H53</t>
  </si>
  <si>
    <t>E4</t>
  </si>
  <si>
    <t>E6</t>
  </si>
  <si>
    <t>Layer Flock Production Data and Questions</t>
  </si>
  <si>
    <t>Depreciable Items for Layers</t>
  </si>
  <si>
    <t>C99</t>
  </si>
  <si>
    <t>C100</t>
  </si>
  <si>
    <t xml:space="preserve">This determines the mortality rate pre and post production age, and the forage replacement rate. </t>
  </si>
  <si>
    <t>Should we have a place eventually to have them enter the mortality rate for years past year 1</t>
  </si>
  <si>
    <t>there is a potential for error here, just because we are making assumptions on the mortality rate for years 2 and 3</t>
  </si>
  <si>
    <t>have them enter the months until productive age</t>
  </si>
  <si>
    <t>have them enter the total number of months kept after that</t>
  </si>
  <si>
    <t>Chicks Purchased</t>
  </si>
  <si>
    <t>Enter the total other feed costs and supplements per flock:</t>
  </si>
  <si>
    <t>Fuel Economy</t>
  </si>
  <si>
    <t>Quant.</t>
  </si>
  <si>
    <t>Price</t>
  </si>
  <si>
    <t>Total</t>
  </si>
  <si>
    <t>mpg</t>
  </si>
  <si>
    <t>gal</t>
  </si>
  <si>
    <t>Total Miles for Marketing</t>
  </si>
  <si>
    <t>Transportation Labor</t>
  </si>
  <si>
    <t>miles/year</t>
  </si>
  <si>
    <t>Costs ($/mile), Annual Marketing Transportation</t>
  </si>
  <si>
    <t>Fuel</t>
  </si>
  <si>
    <t>Labor</t>
  </si>
  <si>
    <t>mile</t>
  </si>
  <si>
    <t>Eggs &amp; Culls % of Annual Sales</t>
  </si>
  <si>
    <t>Annual Marketing Transportation Costs</t>
  </si>
  <si>
    <t>Calculated "Other" Costs</t>
  </si>
  <si>
    <t>Cents per Mile of "Other" Transportation Costs (2015)</t>
  </si>
  <si>
    <t>Annual mileage:</t>
  </si>
  <si>
    <t>High</t>
  </si>
  <si>
    <t>Medium</t>
  </si>
  <si>
    <t>Low</t>
  </si>
  <si>
    <t>Maintenance, Repairs</t>
  </si>
  <si>
    <t>Annual Cost</t>
  </si>
  <si>
    <t>$/Mile</t>
  </si>
  <si>
    <t>Tires</t>
  </si>
  <si>
    <t>Depreciation</t>
  </si>
  <si>
    <t>Source: http://www.lrrb.org/media/reports/200319.pdf, adjusted for 2015 using CPI calculator</t>
  </si>
  <si>
    <t>Change by:</t>
  </si>
  <si>
    <t>Enter</t>
  </si>
  <si>
    <t>Calculate</t>
  </si>
  <si>
    <t>Total Annual Marketing Transportation Cost</t>
  </si>
  <si>
    <t>Other Feed/Supplements</t>
  </si>
  <si>
    <t>Transportation Labor (hrs)</t>
  </si>
  <si>
    <t>Transportation</t>
  </si>
  <si>
    <t>Per Dozen</t>
  </si>
  <si>
    <t>Per Flock</t>
  </si>
  <si>
    <t>Enter the weeks to productive age:</t>
  </si>
  <si>
    <t>flock</t>
  </si>
  <si>
    <t>Birds at productive age</t>
  </si>
  <si>
    <t>Pullet purchased</t>
  </si>
  <si>
    <t>Enter the months a bird is kept once it reaches productive age</t>
  </si>
  <si>
    <t>Final age of the bird when culled, in months</t>
  </si>
  <si>
    <t>production labor hours if we use the "enter months until culled"system</t>
  </si>
  <si>
    <t>% of potential egg production…</t>
  </si>
  <si>
    <t>% of Use</t>
  </si>
  <si>
    <t>Processing Culls</t>
  </si>
  <si>
    <t>bales/flock</t>
  </si>
  <si>
    <t>hours/flock</t>
  </si>
  <si>
    <t>Total Eggs Sold:</t>
  </si>
  <si>
    <t>Feed Consumption (Adults)</t>
  </si>
  <si>
    <t>Number of Birds</t>
  </si>
  <si>
    <t>Months Kept Laying</t>
  </si>
  <si>
    <t>Lbs of Feed per Day</t>
  </si>
  <si>
    <t>Pounds Intake per Bird</t>
  </si>
  <si>
    <t>Pounds Intake per Flock</t>
  </si>
  <si>
    <t>mortality</t>
  </si>
  <si>
    <t xml:space="preserve">     Number of chicks lost in the brooder:</t>
  </si>
  <si>
    <t>pounds per flock of feed intake, accounting for mortality and forage replacement</t>
  </si>
  <si>
    <t>Sale Price $/Dozen</t>
  </si>
  <si>
    <t>Dozens/ Year</t>
  </si>
  <si>
    <t>% of Eggs</t>
  </si>
  <si>
    <t>Birds/Year</t>
  </si>
  <si>
    <t>Packaged Pounds/Year</t>
  </si>
  <si>
    <t>% of Culls</t>
  </si>
  <si>
    <t>$/Packaged Pound</t>
  </si>
  <si>
    <t>$/Live Bird</t>
  </si>
  <si>
    <t>chick labor - once I add in the cell where they enter the weeks to productive age</t>
  </si>
  <si>
    <t>To X Weeks</t>
  </si>
  <si>
    <t xml:space="preserve">     How many pounds of feed will each bird eat per productive year?</t>
  </si>
  <si>
    <t xml:space="preserve">This will be slightly different in the Summary, because the feed intake accounts for forage replacement and mortality rates, entered below. </t>
  </si>
  <si>
    <t xml:space="preserve">This is the number of birds expected to be laying at the start of the first productive year based on mortality rates entered below. </t>
  </si>
  <si>
    <t>Eggs through Wholesale</t>
  </si>
  <si>
    <t>Eggs through Retail</t>
  </si>
  <si>
    <t>Enter Separate Costs</t>
  </si>
  <si>
    <t>Enter Total Cost per Chick</t>
  </si>
  <si>
    <t xml:space="preserve">     Number of birds lost in Year 1:</t>
  </si>
  <si>
    <t>Enter Total Cost per Flock</t>
  </si>
  <si>
    <t>Eggs/Year</t>
  </si>
  <si>
    <t>Average Eggs per Bird per Productive Year</t>
  </si>
  <si>
    <t xml:space="preserve">     Number of layers to reach productivity:</t>
  </si>
  <si>
    <t>Revenue/ Flock</t>
  </si>
  <si>
    <t>% of Product</t>
  </si>
  <si>
    <t xml:space="preserve">Account for transportation costs related to marketing and processing here. Remember fuel, maintenance, and other costs. </t>
  </si>
  <si>
    <t>culls/flock</t>
  </si>
  <si>
    <t>Cost / Layer</t>
  </si>
  <si>
    <t>Per Layer</t>
  </si>
  <si>
    <t>Last Updated 6/10/17</t>
  </si>
  <si>
    <r>
      <t>How do you purchase your laying hens?</t>
    </r>
    <r>
      <rPr>
        <i/>
        <sz val="10"/>
        <color theme="1"/>
        <rFont val="Arial"/>
        <family val="2"/>
      </rPr>
      <t xml:space="preserve"> (Select one)</t>
    </r>
  </si>
  <si>
    <t>This net profit includes the revenue from the cull birds.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</si>
</sst>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0.0"/>
    <numFmt numFmtId="165" formatCode="0.0%"/>
    <numFmt numFmtId="166" formatCode="&quot;$&quot;#,##0.00"/>
    <numFmt numFmtId="167" formatCode="&quot;$&quot;#,##0"/>
    <numFmt numFmtId="168" formatCode="_(* #,##0_);_(* \(#,##0\);_(* &quot;-&quot;??_);_(@_)"/>
    <numFmt numFmtId="169" formatCode="0.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1"/>
      <color theme="3"/>
      <name val="Calibri"/>
      <family val="2"/>
      <scheme val="minor"/>
    </font>
    <font>
      <b/>
      <sz val="11"/>
      <color theme="1"/>
      <name val="Calibri"/>
      <family val="2"/>
      <scheme val="minor"/>
    </font>
    <font>
      <sz val="11"/>
      <name val="Calibri"/>
      <family val="2"/>
      <scheme val="minor"/>
    </font>
    <font>
      <sz val="9"/>
      <color indexed="81"/>
      <name val="Tahoma"/>
      <family val="2"/>
    </font>
    <font>
      <i/>
      <sz val="11"/>
      <color theme="1"/>
      <name val="Calibri"/>
      <family val="2"/>
      <scheme val="minor"/>
    </font>
    <font>
      <u/>
      <sz val="11"/>
      <color theme="10"/>
      <name val="Calibri"/>
      <family val="2"/>
      <scheme val="minor"/>
    </font>
    <font>
      <sz val="10"/>
      <color rgb="FF3F3F3F"/>
      <name val="Arial"/>
      <family val="2"/>
    </font>
    <font>
      <b/>
      <sz val="10"/>
      <name val="Arial"/>
      <family val="2"/>
    </font>
    <font>
      <sz val="10"/>
      <name val="Arial"/>
      <family val="2"/>
    </font>
    <font>
      <b/>
      <sz val="11"/>
      <color rgb="FF333333"/>
      <name val="Arial"/>
      <family val="2"/>
    </font>
    <font>
      <sz val="11"/>
      <color rgb="FF333333"/>
      <name val="Arial"/>
      <family val="2"/>
    </font>
    <font>
      <b/>
      <sz val="10"/>
      <color rgb="FF333333"/>
      <name val="Arial"/>
      <family val="2"/>
    </font>
    <font>
      <b/>
      <sz val="12"/>
      <name val="Arial"/>
      <family val="2"/>
    </font>
    <font>
      <b/>
      <sz val="10"/>
      <color theme="1"/>
      <name val="Arial"/>
      <family val="2"/>
    </font>
    <font>
      <sz val="10"/>
      <color theme="1"/>
      <name val="Arial"/>
      <family val="2"/>
    </font>
    <font>
      <sz val="10"/>
      <color rgb="FF0070C0"/>
      <name val="Arial"/>
      <family val="2"/>
    </font>
    <font>
      <b/>
      <sz val="10"/>
      <color rgb="FF0070C0"/>
      <name val="Arial"/>
      <family val="2"/>
    </font>
    <font>
      <i/>
      <sz val="10"/>
      <color theme="1"/>
      <name val="Arial"/>
      <family val="2"/>
    </font>
    <font>
      <i/>
      <sz val="10"/>
      <name val="Arial"/>
      <family val="2"/>
    </font>
    <font>
      <sz val="10"/>
      <color theme="0"/>
      <name val="Arial"/>
      <family val="2"/>
    </font>
    <font>
      <sz val="10"/>
      <color rgb="FF000000"/>
      <name val="Arial"/>
      <family val="2"/>
    </font>
    <font>
      <b/>
      <i/>
      <sz val="10"/>
      <color theme="1"/>
      <name val="Arial"/>
      <family val="2"/>
    </font>
    <font>
      <b/>
      <sz val="14"/>
      <name val="Arial"/>
      <family val="2"/>
    </font>
    <font>
      <b/>
      <sz val="10"/>
      <color rgb="FF0000FF"/>
      <name val="Arial"/>
      <family val="2"/>
    </font>
    <font>
      <b/>
      <sz val="10"/>
      <color indexed="9"/>
      <name val="Arial"/>
      <family val="2"/>
    </font>
    <font>
      <b/>
      <sz val="12"/>
      <color theme="1"/>
      <name val="Arial"/>
      <family val="2"/>
    </font>
    <font>
      <sz val="8"/>
      <color theme="1"/>
      <name val="Arial"/>
      <family val="2"/>
    </font>
    <font>
      <b/>
      <sz val="10"/>
      <color theme="0"/>
      <name val="Arial"/>
      <family val="2"/>
    </font>
    <font>
      <i/>
      <sz val="10"/>
      <color rgb="FFFF0000"/>
      <name val="Arial"/>
      <family val="2"/>
    </font>
    <font>
      <b/>
      <i/>
      <sz val="12"/>
      <name val="Arial"/>
      <family val="2"/>
    </font>
    <font>
      <b/>
      <i/>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FF"/>
        <bgColor indexed="64"/>
      </patternFill>
    </fill>
    <fill>
      <patternFill patternType="solid">
        <fgColor indexed="44"/>
        <bgColor indexed="64"/>
      </patternFill>
    </fill>
    <fill>
      <patternFill patternType="solid">
        <fgColor rgb="FF99CCFF"/>
        <bgColor indexed="64"/>
      </patternFill>
    </fill>
    <fill>
      <patternFill patternType="solid">
        <fgColor indexed="18"/>
        <bgColor indexed="64"/>
      </patternFill>
    </fill>
  </fills>
  <borders count="27">
    <border>
      <left/>
      <right/>
      <top/>
      <bottom/>
      <diagonal/>
    </border>
    <border>
      <left/>
      <right/>
      <top/>
      <bottom style="medium">
        <color theme="4" tint="0.39997558519241921"/>
      </bottom>
      <diagonal/>
    </border>
    <border>
      <left/>
      <right/>
      <top/>
      <bottom style="thin">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auto="1"/>
      </left>
      <right style="double">
        <color auto="1"/>
      </right>
      <top style="thin">
        <color auto="1"/>
      </top>
      <bottom style="thin">
        <color auto="1"/>
      </bottom>
      <diagonal/>
    </border>
    <border>
      <left/>
      <right style="double">
        <color indexed="64"/>
      </right>
      <top style="thin">
        <color indexed="64"/>
      </top>
      <bottom style="thin">
        <color indexed="64"/>
      </bottom>
      <diagonal/>
    </border>
    <border>
      <left/>
      <right/>
      <top style="thin">
        <color indexed="64"/>
      </top>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8" fillId="0" borderId="0" applyNumberFormat="0" applyFill="0" applyBorder="0" applyAlignment="0" applyProtection="0"/>
    <xf numFmtId="43" fontId="1" fillId="0" borderId="0" applyFont="0" applyFill="0" applyBorder="0" applyAlignment="0" applyProtection="0"/>
  </cellStyleXfs>
  <cellXfs count="453">
    <xf numFmtId="0" fontId="0" fillId="0" borderId="0" xfId="0"/>
    <xf numFmtId="0" fontId="0" fillId="0" borderId="0" xfId="0" applyAlignment="1">
      <alignment horizontal="center"/>
    </xf>
    <xf numFmtId="0" fontId="4" fillId="0" borderId="0" xfId="0" applyFont="1"/>
    <xf numFmtId="0" fontId="0" fillId="0" borderId="0" xfId="0" applyAlignment="1">
      <alignment horizontal="left"/>
    </xf>
    <xf numFmtId="0" fontId="0" fillId="0" borderId="0" xfId="0" applyAlignment="1">
      <alignment horizontal="center" vertical="center"/>
    </xf>
    <xf numFmtId="0" fontId="4" fillId="0" borderId="0" xfId="0" applyFont="1" applyAlignment="1">
      <alignment horizontal="center"/>
    </xf>
    <xf numFmtId="164" fontId="0" fillId="0" borderId="0" xfId="0" applyNumberFormat="1" applyAlignment="1">
      <alignment horizontal="center"/>
    </xf>
    <xf numFmtId="0" fontId="4" fillId="0" borderId="2" xfId="0" applyFont="1" applyBorder="1" applyAlignment="1">
      <alignment horizontal="center"/>
    </xf>
    <xf numFmtId="0" fontId="4" fillId="0" borderId="2" xfId="0" applyFont="1" applyBorder="1" applyAlignment="1">
      <alignment horizontal="left"/>
    </xf>
    <xf numFmtId="0" fontId="4" fillId="0" borderId="6" xfId="0" applyFont="1" applyBorder="1" applyAlignment="1">
      <alignment horizontal="left"/>
    </xf>
    <xf numFmtId="2" fontId="0" fillId="0" borderId="0" xfId="0" applyNumberFormat="1" applyAlignment="1">
      <alignment horizontal="center"/>
    </xf>
    <xf numFmtId="0" fontId="0" fillId="0" borderId="3" xfId="0" applyBorder="1" applyAlignment="1">
      <alignment horizontal="left"/>
    </xf>
    <xf numFmtId="0" fontId="9" fillId="0" borderId="0" xfId="0" applyFont="1" applyAlignment="1">
      <alignment horizontal="center" vertical="center" wrapText="1"/>
    </xf>
    <xf numFmtId="169" fontId="0" fillId="0" borderId="0" xfId="0" applyNumberFormat="1"/>
    <xf numFmtId="169" fontId="9" fillId="0" borderId="0" xfId="0" applyNumberFormat="1" applyFont="1" applyAlignment="1">
      <alignment horizontal="center" vertical="center" wrapText="1"/>
    </xf>
    <xf numFmtId="0" fontId="5" fillId="0" borderId="0" xfId="0" applyFont="1" applyAlignment="1">
      <alignment vertical="center"/>
    </xf>
    <xf numFmtId="0" fontId="5" fillId="0" borderId="18" xfId="0" applyFont="1" applyBorder="1" applyAlignment="1">
      <alignment vertical="center"/>
    </xf>
    <xf numFmtId="0" fontId="5" fillId="0" borderId="20" xfId="0" applyFont="1" applyBorder="1" applyAlignment="1">
      <alignment vertical="center"/>
    </xf>
    <xf numFmtId="0" fontId="10" fillId="0" borderId="0" xfId="0" applyFont="1" applyAlignment="1">
      <alignment horizontal="center" vertical="center" wrapText="1"/>
    </xf>
    <xf numFmtId="0" fontId="11" fillId="0" borderId="18" xfId="0" applyFont="1" applyBorder="1" applyAlignment="1">
      <alignment horizontal="center" vertical="center" wrapText="1"/>
    </xf>
    <xf numFmtId="0" fontId="11" fillId="0" borderId="0" xfId="0" applyFont="1" applyAlignment="1">
      <alignment horizontal="center" vertical="center" wrapText="1"/>
    </xf>
    <xf numFmtId="169" fontId="11" fillId="0" borderId="0" xfId="0" applyNumberFormat="1" applyFont="1" applyAlignment="1">
      <alignment horizontal="center" vertical="center" wrapText="1"/>
    </xf>
    <xf numFmtId="0" fontId="11" fillId="0" borderId="0" xfId="0" applyFont="1" applyAlignment="1">
      <alignment horizontal="left" vertical="center"/>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169" fontId="11" fillId="0" borderId="4" xfId="0" applyNumberFormat="1" applyFont="1" applyBorder="1" applyAlignment="1">
      <alignment horizontal="center" vertical="center" wrapText="1"/>
    </xf>
    <xf numFmtId="169" fontId="5" fillId="0" borderId="4" xfId="0" applyNumberFormat="1" applyFont="1" applyBorder="1" applyAlignment="1">
      <alignment horizontal="center" vertical="center"/>
    </xf>
    <xf numFmtId="2" fontId="0" fillId="0" borderId="0" xfId="0" applyNumberFormat="1"/>
    <xf numFmtId="164" fontId="4" fillId="0" borderId="0" xfId="0" applyNumberFormat="1" applyFont="1" applyAlignment="1">
      <alignment horizontal="center" vertical="center"/>
    </xf>
    <xf numFmtId="0" fontId="4" fillId="0" borderId="0" xfId="0" applyFont="1" applyAlignment="1">
      <alignment horizontal="center" vertical="center"/>
    </xf>
    <xf numFmtId="0" fontId="5" fillId="4" borderId="0" xfId="0" applyFont="1" applyFill="1" applyAlignment="1">
      <alignment vertical="center"/>
    </xf>
    <xf numFmtId="0" fontId="0" fillId="4" borderId="0" xfId="0" applyFill="1"/>
    <xf numFmtId="0" fontId="11" fillId="4" borderId="0" xfId="0" applyFont="1" applyFill="1" applyAlignment="1">
      <alignment horizontal="center" vertical="center" wrapText="1"/>
    </xf>
    <xf numFmtId="169" fontId="11" fillId="4" borderId="0" xfId="0" applyNumberFormat="1" applyFont="1" applyFill="1" applyAlignment="1">
      <alignment horizontal="center" vertical="center" wrapText="1"/>
    </xf>
    <xf numFmtId="0" fontId="0" fillId="0" borderId="0" xfId="0" applyAlignment="1">
      <alignment horizontal="center" vertical="center" wrapText="1"/>
    </xf>
    <xf numFmtId="0" fontId="4" fillId="0" borderId="19" xfId="0" applyFont="1" applyBorder="1" applyAlignment="1">
      <alignment horizontal="center"/>
    </xf>
    <xf numFmtId="0" fontId="13" fillId="5" borderId="21"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2" fillId="5" borderId="21" xfId="0" applyFont="1" applyFill="1" applyBorder="1" applyAlignment="1">
      <alignment vertical="center" wrapText="1"/>
    </xf>
    <xf numFmtId="2" fontId="10" fillId="0" borderId="19" xfId="0" applyNumberFormat="1" applyFont="1" applyBorder="1" applyAlignment="1">
      <alignment horizontal="center" vertical="center" wrapText="1"/>
    </xf>
    <xf numFmtId="0" fontId="8" fillId="4" borderId="0" xfId="5" applyFill="1"/>
    <xf numFmtId="2" fontId="0" fillId="0" borderId="0" xfId="0" applyNumberFormat="1" applyAlignment="1">
      <alignment horizontal="center" vertical="center"/>
    </xf>
    <xf numFmtId="0" fontId="4" fillId="0" borderId="0" xfId="0" applyFont="1" applyAlignment="1">
      <alignment horizontal="center" vertical="center" wrapText="1"/>
    </xf>
    <xf numFmtId="0" fontId="17" fillId="0" borderId="0" xfId="0" applyFont="1"/>
    <xf numFmtId="0" fontId="17" fillId="0" borderId="0" xfId="0" applyFont="1" applyAlignment="1">
      <alignment vertical="center"/>
    </xf>
    <xf numFmtId="9" fontId="17" fillId="0" borderId="0" xfId="0" applyNumberFormat="1" applyFont="1" applyAlignment="1">
      <alignment horizontal="center" vertical="center"/>
    </xf>
    <xf numFmtId="0" fontId="17" fillId="0" borderId="0" xfId="0" applyFont="1" applyAlignment="1">
      <alignment horizontal="left" vertical="center"/>
    </xf>
    <xf numFmtId="0" fontId="20" fillId="0" borderId="0" xfId="0" applyFont="1" applyAlignment="1">
      <alignment vertical="center"/>
    </xf>
    <xf numFmtId="0" fontId="11" fillId="0" borderId="0" xfId="0" applyFont="1" applyAlignment="1">
      <alignment vertical="center"/>
    </xf>
    <xf numFmtId="1" fontId="17" fillId="0" borderId="0" xfId="0" applyNumberFormat="1" applyFont="1" applyAlignment="1">
      <alignment horizontal="center" vertical="center"/>
    </xf>
    <xf numFmtId="44" fontId="18" fillId="0" borderId="0" xfId="1" applyFont="1" applyAlignment="1">
      <alignment horizontal="center" vertical="center"/>
    </xf>
    <xf numFmtId="0" fontId="10" fillId="0" borderId="0" xfId="0" applyFont="1" applyAlignment="1">
      <alignment vertical="center"/>
    </xf>
    <xf numFmtId="166" fontId="22" fillId="0" borderId="0" xfId="1" applyNumberFormat="1" applyFont="1" applyBorder="1" applyAlignment="1">
      <alignment vertical="center"/>
    </xf>
    <xf numFmtId="0" fontId="22" fillId="0" borderId="0" xfId="0" applyFont="1" applyAlignment="1">
      <alignment horizontal="center" vertical="center"/>
    </xf>
    <xf numFmtId="0" fontId="11" fillId="0" borderId="0" xfId="0" applyFont="1" applyAlignment="1">
      <alignment horizontal="center" vertical="center"/>
    </xf>
    <xf numFmtId="166" fontId="18" fillId="0" borderId="0" xfId="1" applyNumberFormat="1" applyFont="1" applyBorder="1" applyAlignment="1">
      <alignment vertical="center"/>
    </xf>
    <xf numFmtId="44" fontId="18" fillId="0" borderId="0" xfId="1" applyFont="1" applyAlignment="1">
      <alignment vertical="center"/>
    </xf>
    <xf numFmtId="165" fontId="17" fillId="0" borderId="0" xfId="2" applyNumberFormat="1" applyFont="1" applyAlignment="1">
      <alignment vertical="center"/>
    </xf>
    <xf numFmtId="0" fontId="23" fillId="0" borderId="7" xfId="0" applyFont="1" applyBorder="1" applyAlignment="1">
      <alignment vertical="center"/>
    </xf>
    <xf numFmtId="9" fontId="17" fillId="0" borderId="4" xfId="2" applyFont="1" applyBorder="1" applyAlignment="1">
      <alignment horizontal="center" vertical="center"/>
    </xf>
    <xf numFmtId="9" fontId="23" fillId="0" borderId="10" xfId="2" applyFont="1" applyBorder="1" applyAlignment="1">
      <alignment horizontal="center" vertical="center"/>
    </xf>
    <xf numFmtId="0" fontId="16" fillId="0" borderId="7" xfId="0" applyFont="1" applyBorder="1" applyAlignment="1">
      <alignment vertical="center"/>
    </xf>
    <xf numFmtId="9" fontId="17" fillId="0" borderId="10" xfId="2" applyFont="1" applyBorder="1" applyAlignment="1">
      <alignment horizontal="center" vertical="center"/>
    </xf>
    <xf numFmtId="165" fontId="17" fillId="0" borderId="10" xfId="2" applyNumberFormat="1" applyFont="1" applyBorder="1" applyAlignment="1">
      <alignment horizontal="center" vertical="center"/>
    </xf>
    <xf numFmtId="1" fontId="17" fillId="0" borderId="4" xfId="0" applyNumberFormat="1" applyFont="1" applyBorder="1" applyAlignment="1">
      <alignment horizontal="center" vertical="center"/>
    </xf>
    <xf numFmtId="0" fontId="20" fillId="0" borderId="0" xfId="0" applyFont="1" applyAlignment="1">
      <alignment horizontal="left" vertical="center"/>
    </xf>
    <xf numFmtId="2" fontId="17" fillId="0" borderId="0" xfId="0" applyNumberFormat="1" applyFont="1" applyAlignment="1">
      <alignment vertical="center"/>
    </xf>
    <xf numFmtId="0" fontId="23" fillId="0" borderId="15" xfId="0" applyFont="1" applyBorder="1" applyAlignment="1">
      <alignment vertical="center"/>
    </xf>
    <xf numFmtId="165" fontId="23" fillId="0" borderId="4" xfId="2" applyNumberFormat="1" applyFont="1" applyBorder="1" applyAlignment="1">
      <alignment horizontal="center" vertical="center"/>
    </xf>
    <xf numFmtId="165" fontId="23" fillId="0" borderId="15" xfId="2" applyNumberFormat="1" applyFont="1" applyBorder="1" applyAlignment="1">
      <alignment horizontal="center" vertical="center"/>
    </xf>
    <xf numFmtId="165" fontId="23" fillId="0" borderId="10" xfId="2" applyNumberFormat="1" applyFont="1" applyBorder="1" applyAlignment="1">
      <alignment horizontal="center" vertical="center"/>
    </xf>
    <xf numFmtId="165" fontId="23" fillId="0" borderId="9" xfId="2" applyNumberFormat="1" applyFont="1" applyBorder="1" applyAlignment="1">
      <alignment horizontal="center" vertical="center"/>
    </xf>
    <xf numFmtId="165" fontId="17" fillId="0" borderId="4" xfId="0" applyNumberFormat="1" applyFont="1" applyBorder="1" applyAlignment="1">
      <alignment horizontal="center" vertical="center"/>
    </xf>
    <xf numFmtId="165" fontId="17" fillId="0" borderId="4" xfId="2" applyNumberFormat="1" applyFont="1" applyBorder="1" applyAlignment="1">
      <alignment horizontal="center" vertical="center"/>
    </xf>
    <xf numFmtId="165" fontId="17" fillId="0" borderId="15" xfId="2" applyNumberFormat="1" applyFont="1" applyBorder="1" applyAlignment="1">
      <alignment horizontal="center" vertical="center"/>
    </xf>
    <xf numFmtId="165" fontId="17" fillId="0" borderId="9" xfId="2" applyNumberFormat="1" applyFont="1" applyBorder="1" applyAlignment="1">
      <alignment horizontal="center" vertical="center"/>
    </xf>
    <xf numFmtId="0" fontId="16" fillId="0" borderId="0" xfId="0" applyFont="1" applyAlignment="1">
      <alignment horizontal="center" vertical="center"/>
    </xf>
    <xf numFmtId="165" fontId="16" fillId="0" borderId="4" xfId="0" applyNumberFormat="1" applyFont="1" applyBorder="1" applyAlignment="1">
      <alignment horizontal="left" vertical="center"/>
    </xf>
    <xf numFmtId="9" fontId="17" fillId="0" borderId="0" xfId="0" applyNumberFormat="1" applyFont="1" applyAlignment="1">
      <alignment vertical="center"/>
    </xf>
    <xf numFmtId="0" fontId="17" fillId="0" borderId="0" xfId="0" applyFont="1" applyAlignment="1">
      <alignment horizontal="center" vertical="center"/>
    </xf>
    <xf numFmtId="166" fontId="16" fillId="0" borderId="0" xfId="0" applyNumberFormat="1" applyFont="1" applyAlignment="1">
      <alignment horizontal="center" vertical="center"/>
    </xf>
    <xf numFmtId="0" fontId="17" fillId="0" borderId="4" xfId="2" applyNumberFormat="1" applyFont="1" applyFill="1" applyBorder="1" applyAlignment="1">
      <alignment horizontal="center" vertical="center"/>
    </xf>
    <xf numFmtId="0" fontId="17" fillId="0" borderId="15" xfId="2" applyNumberFormat="1" applyFont="1" applyFill="1" applyBorder="1" applyAlignment="1">
      <alignment horizontal="center" vertical="center"/>
    </xf>
    <xf numFmtId="0" fontId="17" fillId="0" borderId="9" xfId="2" applyNumberFormat="1" applyFont="1" applyFill="1" applyBorder="1" applyAlignment="1">
      <alignment horizontal="center" vertical="center"/>
    </xf>
    <xf numFmtId="165" fontId="17" fillId="0" borderId="4" xfId="2" applyNumberFormat="1" applyFont="1" applyFill="1" applyBorder="1" applyAlignment="1">
      <alignment horizontal="center" vertical="center"/>
    </xf>
    <xf numFmtId="165" fontId="17" fillId="0" borderId="15" xfId="2" applyNumberFormat="1" applyFont="1" applyFill="1" applyBorder="1" applyAlignment="1">
      <alignment horizontal="center" vertical="center"/>
    </xf>
    <xf numFmtId="165" fontId="17" fillId="3" borderId="4" xfId="0" applyNumberFormat="1" applyFont="1" applyFill="1" applyBorder="1" applyAlignment="1">
      <alignment vertical="center"/>
    </xf>
    <xf numFmtId="165" fontId="17" fillId="0" borderId="4" xfId="0" applyNumberFormat="1" applyFont="1" applyBorder="1" applyAlignment="1">
      <alignment horizontal="center"/>
    </xf>
    <xf numFmtId="0" fontId="17" fillId="0" borderId="4" xfId="0" applyFont="1" applyBorder="1" applyAlignment="1">
      <alignment vertical="center"/>
    </xf>
    <xf numFmtId="0" fontId="11" fillId="0" borderId="4" xfId="0" applyFont="1" applyBorder="1" applyAlignment="1">
      <alignment vertical="center"/>
    </xf>
    <xf numFmtId="0" fontId="11" fillId="0" borderId="4" xfId="0" applyFont="1" applyBorder="1" applyAlignment="1">
      <alignment horizontal="center" vertical="center"/>
    </xf>
    <xf numFmtId="166" fontId="18" fillId="0" borderId="4" xfId="0" applyNumberFormat="1" applyFont="1" applyBorder="1" applyAlignment="1">
      <alignment horizontal="left" vertical="center"/>
    </xf>
    <xf numFmtId="0" fontId="19" fillId="0" borderId="4" xfId="0" applyFont="1" applyBorder="1" applyAlignment="1">
      <alignment horizontal="left" vertical="center"/>
    </xf>
    <xf numFmtId="0" fontId="16" fillId="2" borderId="8" xfId="0" applyFont="1" applyFill="1" applyBorder="1" applyAlignment="1">
      <alignment horizontal="center" vertical="center" wrapText="1"/>
    </xf>
    <xf numFmtId="0" fontId="16" fillId="0" borderId="0" xfId="0" applyFont="1" applyAlignment="1">
      <alignment horizontal="center" vertical="center" wrapText="1"/>
    </xf>
    <xf numFmtId="0" fontId="16" fillId="0" borderId="0" xfId="0" applyFont="1"/>
    <xf numFmtId="1" fontId="17" fillId="0" borderId="4" xfId="6" applyNumberFormat="1" applyFont="1" applyFill="1" applyBorder="1" applyAlignment="1">
      <alignment horizontal="center"/>
    </xf>
    <xf numFmtId="0" fontId="11" fillId="0" borderId="0" xfId="0" applyFont="1" applyAlignment="1">
      <alignment vertical="center" wrapText="1"/>
    </xf>
    <xf numFmtId="0" fontId="23" fillId="0" borderId="0" xfId="0" applyFont="1"/>
    <xf numFmtId="9" fontId="10" fillId="0" borderId="4" xfId="2" applyFont="1" applyBorder="1" applyAlignment="1">
      <alignment horizontal="center" vertical="center"/>
    </xf>
    <xf numFmtId="0" fontId="17" fillId="0" borderId="4" xfId="0" applyFont="1" applyBorder="1"/>
    <xf numFmtId="9" fontId="16" fillId="0" borderId="4" xfId="0" applyNumberFormat="1" applyFont="1" applyBorder="1" applyAlignment="1">
      <alignment horizontal="center" vertical="center"/>
    </xf>
    <xf numFmtId="0" fontId="16" fillId="0" borderId="4" xfId="0" applyFont="1" applyBorder="1" applyAlignment="1">
      <alignment horizontal="center" vertical="center" wrapText="1"/>
    </xf>
    <xf numFmtId="1" fontId="17" fillId="0" borderId="4" xfId="0" applyNumberFormat="1" applyFont="1" applyBorder="1" applyAlignment="1">
      <alignment horizontal="center"/>
    </xf>
    <xf numFmtId="167" fontId="27" fillId="8" borderId="4" xfId="0" applyNumberFormat="1" applyFont="1" applyFill="1" applyBorder="1" applyAlignment="1">
      <alignment horizontal="right" vertical="center"/>
    </xf>
    <xf numFmtId="0" fontId="16" fillId="0" borderId="4" xfId="0" applyFont="1" applyBorder="1" applyAlignment="1">
      <alignment horizontal="left" vertical="center" wrapText="1"/>
    </xf>
    <xf numFmtId="1" fontId="10" fillId="0" borderId="4" xfId="0" applyNumberFormat="1" applyFont="1" applyBorder="1" applyAlignment="1">
      <alignment horizontal="center" vertical="center"/>
    </xf>
    <xf numFmtId="166" fontId="16" fillId="0" borderId="4" xfId="0" applyNumberFormat="1" applyFont="1" applyBorder="1" applyAlignment="1">
      <alignment horizontal="center" vertical="center"/>
    </xf>
    <xf numFmtId="167" fontId="10" fillId="0" borderId="4" xfId="1" applyNumberFormat="1" applyFont="1" applyFill="1" applyBorder="1" applyAlignment="1">
      <alignment horizontal="center" vertical="center"/>
    </xf>
    <xf numFmtId="167" fontId="10" fillId="0" borderId="4" xfId="4" applyNumberFormat="1" applyFont="1" applyBorder="1" applyAlignment="1">
      <alignment horizontal="right" vertical="center"/>
    </xf>
    <xf numFmtId="167" fontId="10" fillId="0" borderId="4" xfId="1" applyNumberFormat="1" applyFont="1" applyBorder="1" applyAlignment="1">
      <alignment horizontal="right" vertical="center"/>
    </xf>
    <xf numFmtId="166" fontId="27" fillId="8" borderId="4" xfId="0" applyNumberFormat="1" applyFont="1" applyFill="1" applyBorder="1" applyAlignment="1">
      <alignment horizontal="right" vertical="center"/>
    </xf>
    <xf numFmtId="0" fontId="16" fillId="0" borderId="4" xfId="0" applyFont="1" applyBorder="1" applyAlignment="1">
      <alignment horizontal="center" vertical="center"/>
    </xf>
    <xf numFmtId="0" fontId="10" fillId="0" borderId="0" xfId="3" applyFont="1" applyBorder="1" applyAlignment="1">
      <alignment vertical="center"/>
    </xf>
    <xf numFmtId="0" fontId="19" fillId="0" borderId="0" xfId="0" applyFont="1" applyAlignment="1">
      <alignment vertical="center"/>
    </xf>
    <xf numFmtId="0" fontId="10" fillId="0" borderId="4" xfId="0" applyFont="1" applyBorder="1" applyAlignment="1">
      <alignment vertical="center"/>
    </xf>
    <xf numFmtId="1" fontId="17" fillId="0" borderId="4" xfId="6" applyNumberFormat="1" applyFont="1" applyFill="1" applyBorder="1" applyAlignment="1">
      <alignment horizontal="center" vertical="center"/>
    </xf>
    <xf numFmtId="167" fontId="17" fillId="0" borderId="4" xfId="1" applyNumberFormat="1" applyFont="1" applyBorder="1" applyAlignment="1">
      <alignment horizontal="center" vertical="center"/>
    </xf>
    <xf numFmtId="167" fontId="17" fillId="0" borderId="4" xfId="0" applyNumberFormat="1" applyFont="1" applyBorder="1" applyAlignment="1">
      <alignment horizontal="center" vertical="center"/>
    </xf>
    <xf numFmtId="166" fontId="17" fillId="0" borderId="0" xfId="0" applyNumberFormat="1" applyFont="1" applyAlignment="1">
      <alignment vertical="center"/>
    </xf>
    <xf numFmtId="1" fontId="17" fillId="0" borderId="0" xfId="0" applyNumberFormat="1" applyFont="1" applyAlignment="1">
      <alignment vertical="center"/>
    </xf>
    <xf numFmtId="9" fontId="20" fillId="0" borderId="0" xfId="0" applyNumberFormat="1" applyFont="1" applyAlignment="1">
      <alignment vertical="center"/>
    </xf>
    <xf numFmtId="167" fontId="17" fillId="0" borderId="0" xfId="0" applyNumberFormat="1" applyFont="1" applyAlignment="1">
      <alignment vertical="center"/>
    </xf>
    <xf numFmtId="1" fontId="16" fillId="0" borderId="4" xfId="0" applyNumberFormat="1" applyFont="1" applyBorder="1" applyAlignment="1">
      <alignment horizontal="center" vertical="center"/>
    </xf>
    <xf numFmtId="164" fontId="17" fillId="0" borderId="4" xfId="0" applyNumberFormat="1" applyFont="1" applyBorder="1" applyAlignment="1">
      <alignment horizontal="center" vertical="center"/>
    </xf>
    <xf numFmtId="166" fontId="10" fillId="0" borderId="4" xfId="4" applyNumberFormat="1" applyFont="1" applyBorder="1" applyAlignment="1">
      <alignment horizontal="center" vertical="center"/>
    </xf>
    <xf numFmtId="167" fontId="16" fillId="0" borderId="4" xfId="1" applyNumberFormat="1" applyFont="1" applyFill="1" applyBorder="1" applyAlignment="1">
      <alignment horizontal="right" vertical="center"/>
    </xf>
    <xf numFmtId="1" fontId="17" fillId="0" borderId="0" xfId="0" applyNumberFormat="1" applyFont="1"/>
    <xf numFmtId="9" fontId="17" fillId="0" borderId="0" xfId="0" applyNumberFormat="1" applyFont="1"/>
    <xf numFmtId="1" fontId="17" fillId="0" borderId="0" xfId="2" applyNumberFormat="1" applyFont="1"/>
    <xf numFmtId="168" fontId="17" fillId="0" borderId="0" xfId="6" applyNumberFormat="1" applyFont="1"/>
    <xf numFmtId="1" fontId="17" fillId="0" borderId="4" xfId="6" applyNumberFormat="1" applyFont="1" applyBorder="1" applyAlignment="1">
      <alignment horizontal="center"/>
    </xf>
    <xf numFmtId="0" fontId="17" fillId="0" borderId="4" xfId="0" applyFont="1" applyBorder="1" applyAlignment="1">
      <alignment horizontal="center" vertical="center" wrapText="1"/>
    </xf>
    <xf numFmtId="0" fontId="16" fillId="0" borderId="4" xfId="0" applyFont="1" applyBorder="1"/>
    <xf numFmtId="9" fontId="17" fillId="0" borderId="4" xfId="2" applyFont="1" applyBorder="1" applyAlignment="1">
      <alignment horizontal="center"/>
    </xf>
    <xf numFmtId="1" fontId="17" fillId="0" borderId="4" xfId="0" applyNumberFormat="1" applyFont="1" applyBorder="1" applyAlignment="1">
      <alignment horizontal="center" vertical="center" wrapText="1"/>
    </xf>
    <xf numFmtId="0" fontId="17" fillId="0" borderId="4" xfId="0" applyFont="1" applyBorder="1" applyAlignment="1">
      <alignment horizontal="center" vertical="center"/>
    </xf>
    <xf numFmtId="0" fontId="17" fillId="0" borderId="0" xfId="0" applyFont="1" applyAlignment="1">
      <alignment vertical="center" wrapText="1"/>
    </xf>
    <xf numFmtId="0" fontId="17" fillId="0" borderId="4" xfId="0" applyFont="1" applyBorder="1" applyAlignment="1">
      <alignment horizontal="left" vertical="center"/>
    </xf>
    <xf numFmtId="0" fontId="16" fillId="0" borderId="9" xfId="0" applyFont="1" applyBorder="1" applyAlignment="1">
      <alignment horizontal="center" vertical="center"/>
    </xf>
    <xf numFmtId="0" fontId="17" fillId="0" borderId="9" xfId="0" applyFont="1" applyBorder="1" applyAlignment="1">
      <alignment horizontal="center" vertical="center"/>
    </xf>
    <xf numFmtId="0" fontId="16" fillId="0" borderId="4" xfId="0" applyFont="1" applyBorder="1" applyAlignment="1">
      <alignment horizontal="left" vertical="center"/>
    </xf>
    <xf numFmtId="0" fontId="17" fillId="0" borderId="7" xfId="0" applyFont="1" applyBorder="1" applyAlignment="1">
      <alignment vertical="center"/>
    </xf>
    <xf numFmtId="0" fontId="17" fillId="0" borderId="8" xfId="0" applyFont="1" applyBorder="1" applyAlignment="1">
      <alignment vertical="center"/>
    </xf>
    <xf numFmtId="9" fontId="16" fillId="0" borderId="9" xfId="0" applyNumberFormat="1" applyFont="1" applyBorder="1" applyAlignment="1">
      <alignment horizontal="center" vertical="center"/>
    </xf>
    <xf numFmtId="0" fontId="17" fillId="0" borderId="15" xfId="0" applyFont="1" applyBorder="1" applyAlignment="1">
      <alignment vertical="center"/>
    </xf>
    <xf numFmtId="165" fontId="17" fillId="0" borderId="9" xfId="0" applyNumberFormat="1" applyFont="1" applyBorder="1" applyAlignment="1">
      <alignment horizontal="center" vertical="center"/>
    </xf>
    <xf numFmtId="165" fontId="17" fillId="3" borderId="4" xfId="2" applyNumberFormat="1" applyFont="1" applyFill="1" applyBorder="1" applyAlignment="1">
      <alignment horizontal="center" vertical="center"/>
    </xf>
    <xf numFmtId="165" fontId="16" fillId="0" borderId="4" xfId="0" applyNumberFormat="1" applyFont="1" applyBorder="1" applyAlignment="1">
      <alignment horizontal="center" vertical="center"/>
    </xf>
    <xf numFmtId="0" fontId="16" fillId="0" borderId="5" xfId="0" applyFont="1" applyBorder="1" applyAlignment="1">
      <alignment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1" fillId="0" borderId="0" xfId="0" applyFont="1" applyAlignment="1">
      <alignment vertical="center"/>
    </xf>
    <xf numFmtId="0" fontId="10" fillId="0" borderId="2" xfId="3" applyFont="1" applyBorder="1" applyAlignment="1">
      <alignment vertical="center"/>
    </xf>
    <xf numFmtId="0" fontId="18" fillId="0" borderId="0" xfId="0" applyFont="1" applyAlignment="1">
      <alignment horizontal="center" vertical="center"/>
    </xf>
    <xf numFmtId="166" fontId="17" fillId="0" borderId="0" xfId="1" applyNumberFormat="1" applyFont="1" applyAlignment="1">
      <alignment horizontal="center" vertical="center"/>
    </xf>
    <xf numFmtId="0" fontId="16" fillId="0" borderId="17" xfId="0" applyFont="1" applyBorder="1" applyAlignment="1">
      <alignment horizontal="center" vertical="center"/>
    </xf>
    <xf numFmtId="166" fontId="17" fillId="0" borderId="0" xfId="0" applyNumberFormat="1" applyFont="1" applyAlignment="1">
      <alignment horizontal="center" vertical="center"/>
    </xf>
    <xf numFmtId="0" fontId="16" fillId="0" borderId="2" xfId="0" applyFont="1" applyBorder="1" applyAlignment="1">
      <alignment horizontal="center" vertical="center"/>
    </xf>
    <xf numFmtId="0" fontId="17" fillId="0" borderId="17" xfId="0" applyFont="1" applyBorder="1" applyAlignment="1">
      <alignment horizontal="center" vertical="center"/>
    </xf>
    <xf numFmtId="0" fontId="17" fillId="0" borderId="2" xfId="0" applyFont="1" applyBorder="1" applyAlignment="1">
      <alignment vertical="center"/>
    </xf>
    <xf numFmtId="0" fontId="16" fillId="0" borderId="0" xfId="0" applyFont="1" applyAlignment="1">
      <alignment vertical="center"/>
    </xf>
    <xf numFmtId="166" fontId="18" fillId="0" borderId="0" xfId="1" applyNumberFormat="1" applyFont="1" applyFill="1" applyBorder="1" applyAlignment="1">
      <alignment horizontal="center" vertical="center"/>
    </xf>
    <xf numFmtId="44" fontId="17" fillId="0" borderId="0" xfId="1" applyFont="1" applyFill="1" applyBorder="1" applyAlignment="1">
      <alignment vertical="center"/>
    </xf>
    <xf numFmtId="166" fontId="17" fillId="0" borderId="0" xfId="1" applyNumberFormat="1" applyFont="1" applyFill="1" applyBorder="1" applyAlignment="1">
      <alignment horizontal="center"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9" xfId="0" applyFont="1" applyBorder="1" applyAlignment="1">
      <alignment horizontal="center" vertical="center"/>
    </xf>
    <xf numFmtId="165" fontId="17" fillId="0" borderId="4" xfId="0" applyNumberFormat="1" applyFont="1" applyBorder="1" applyAlignment="1">
      <alignment horizontal="left" vertical="center"/>
    </xf>
    <xf numFmtId="0" fontId="29" fillId="0" borderId="4" xfId="0" applyFont="1" applyBorder="1" applyAlignment="1">
      <alignment horizontal="center" vertical="center" wrapText="1"/>
    </xf>
    <xf numFmtId="0" fontId="17" fillId="0" borderId="0" xfId="0" applyFont="1" applyAlignment="1">
      <alignment horizontal="right" vertical="center"/>
    </xf>
    <xf numFmtId="0" fontId="10" fillId="0" borderId="4" xfId="0" applyFont="1" applyBorder="1" applyAlignment="1">
      <alignment horizontal="center" vertical="center"/>
    </xf>
    <xf numFmtId="165" fontId="10" fillId="0" borderId="4" xfId="2" applyNumberFormat="1" applyFont="1" applyFill="1" applyBorder="1" applyAlignment="1">
      <alignment horizontal="center" vertical="center"/>
    </xf>
    <xf numFmtId="164" fontId="10" fillId="0" borderId="4" xfId="0" applyNumberFormat="1" applyFont="1" applyBorder="1" applyAlignment="1">
      <alignment horizontal="center" vertical="center"/>
    </xf>
    <xf numFmtId="165" fontId="10" fillId="0" borderId="4" xfId="0" applyNumberFormat="1" applyFont="1" applyBorder="1" applyAlignment="1">
      <alignment horizontal="center" vertical="center"/>
    </xf>
    <xf numFmtId="0" fontId="10" fillId="0" borderId="4" xfId="2" applyNumberFormat="1" applyFont="1" applyFill="1" applyBorder="1" applyAlignment="1">
      <alignment horizontal="center" vertical="center"/>
    </xf>
    <xf numFmtId="9" fontId="16" fillId="0" borderId="4" xfId="2" applyFont="1" applyBorder="1" applyAlignment="1">
      <alignment horizontal="center" vertical="center"/>
    </xf>
    <xf numFmtId="9" fontId="10" fillId="0" borderId="4" xfId="0" applyNumberFormat="1" applyFont="1" applyBorder="1" applyAlignment="1">
      <alignment horizontal="center" vertical="center"/>
    </xf>
    <xf numFmtId="164" fontId="16" fillId="0" borderId="4" xfId="0" applyNumberFormat="1" applyFont="1" applyBorder="1" applyAlignment="1">
      <alignment horizontal="center" vertical="center"/>
    </xf>
    <xf numFmtId="166" fontId="10" fillId="0" borderId="4" xfId="1" applyNumberFormat="1" applyFont="1" applyFill="1" applyBorder="1" applyAlignment="1">
      <alignment horizontal="center" vertical="center"/>
    </xf>
    <xf numFmtId="167" fontId="10" fillId="0" borderId="4" xfId="1" applyNumberFormat="1" applyFont="1" applyBorder="1" applyAlignment="1">
      <alignment horizontal="center" vertical="center"/>
    </xf>
    <xf numFmtId="166" fontId="10" fillId="0" borderId="4" xfId="1" applyNumberFormat="1" applyFont="1" applyBorder="1" applyAlignment="1">
      <alignment horizontal="center" vertical="center"/>
    </xf>
    <xf numFmtId="165" fontId="17" fillId="0" borderId="4" xfId="2" applyNumberFormat="1" applyFont="1" applyFill="1" applyBorder="1" applyAlignment="1">
      <alignment horizontal="center"/>
    </xf>
    <xf numFmtId="165" fontId="17" fillId="0" borderId="4" xfId="2" applyNumberFormat="1" applyFont="1" applyBorder="1" applyAlignment="1">
      <alignment horizont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left" vertical="center"/>
    </xf>
    <xf numFmtId="0" fontId="17" fillId="0" borderId="4" xfId="0" applyFont="1" applyBorder="1" applyAlignment="1">
      <alignment horizontal="center"/>
    </xf>
    <xf numFmtId="0" fontId="17" fillId="0" borderId="0" xfId="0" applyFont="1" applyAlignment="1">
      <alignment horizontal="center" vertical="center" wrapText="1"/>
    </xf>
    <xf numFmtId="167" fontId="17" fillId="0" borderId="0" xfId="1" applyNumberFormat="1" applyFont="1" applyFill="1" applyBorder="1" applyAlignment="1">
      <alignment horizontal="center" vertical="center"/>
    </xf>
    <xf numFmtId="1" fontId="30" fillId="0" borderId="4" xfId="0" applyNumberFormat="1" applyFont="1" applyBorder="1" applyAlignment="1">
      <alignment horizontal="center" vertical="center"/>
    </xf>
    <xf numFmtId="0" fontId="30" fillId="0" borderId="4" xfId="0" applyFont="1" applyBorder="1" applyAlignment="1">
      <alignment horizontal="center" vertical="center"/>
    </xf>
    <xf numFmtId="9" fontId="30" fillId="0" borderId="4" xfId="0" applyNumberFormat="1" applyFont="1" applyBorder="1" applyAlignment="1">
      <alignment horizontal="center" vertical="center"/>
    </xf>
    <xf numFmtId="0" fontId="31" fillId="0" borderId="0" xfId="0" applyFont="1" applyAlignment="1">
      <alignment vertical="center"/>
    </xf>
    <xf numFmtId="167" fontId="10" fillId="0" borderId="4" xfId="0" applyNumberFormat="1" applyFont="1" applyBorder="1" applyAlignment="1">
      <alignment horizontal="right" vertical="center"/>
    </xf>
    <xf numFmtId="164" fontId="17" fillId="0" borderId="0" xfId="0" applyNumberFormat="1" applyFont="1" applyAlignment="1">
      <alignment horizontal="center" vertical="center"/>
    </xf>
    <xf numFmtId="0" fontId="17" fillId="0" borderId="0" xfId="0" applyFont="1" applyAlignment="1">
      <alignment horizontal="left"/>
    </xf>
    <xf numFmtId="1" fontId="17" fillId="0" borderId="0" xfId="0" applyNumberFormat="1" applyFont="1" applyAlignment="1">
      <alignment horizontal="center"/>
    </xf>
    <xf numFmtId="165" fontId="17" fillId="0" borderId="0" xfId="2" applyNumberFormat="1" applyFont="1" applyBorder="1" applyAlignment="1">
      <alignment horizontal="center"/>
    </xf>
    <xf numFmtId="9" fontId="17" fillId="0" borderId="0" xfId="2" applyFont="1" applyBorder="1" applyAlignment="1">
      <alignment horizontal="center"/>
    </xf>
    <xf numFmtId="1" fontId="17" fillId="0" borderId="0" xfId="6" applyNumberFormat="1" applyFont="1" applyBorder="1" applyAlignment="1">
      <alignment horizontal="center"/>
    </xf>
    <xf numFmtId="0" fontId="17" fillId="0" borderId="0" xfId="2" applyNumberFormat="1" applyFont="1" applyBorder="1" applyAlignment="1">
      <alignment horizontal="center"/>
    </xf>
    <xf numFmtId="2" fontId="17" fillId="0" borderId="0" xfId="6" applyNumberFormat="1" applyFont="1" applyBorder="1" applyAlignment="1">
      <alignment horizontal="center"/>
    </xf>
    <xf numFmtId="2" fontId="17" fillId="0" borderId="0" xfId="0" applyNumberFormat="1" applyFont="1" applyAlignment="1">
      <alignment horizontal="center"/>
    </xf>
    <xf numFmtId="0" fontId="17" fillId="0" borderId="0" xfId="0" applyFont="1" applyAlignment="1">
      <alignment horizontal="center"/>
    </xf>
    <xf numFmtId="2" fontId="17" fillId="0" borderId="4" xfId="0" applyNumberFormat="1" applyFont="1" applyBorder="1" applyAlignment="1">
      <alignment horizontal="center" vertical="center"/>
    </xf>
    <xf numFmtId="2" fontId="17" fillId="0" borderId="4" xfId="0" applyNumberFormat="1" applyFont="1" applyBorder="1" applyAlignment="1">
      <alignment horizontal="center"/>
    </xf>
    <xf numFmtId="0" fontId="8" fillId="0" borderId="0" xfId="5"/>
    <xf numFmtId="165" fontId="17" fillId="0" borderId="0" xfId="0" applyNumberFormat="1" applyFont="1" applyAlignment="1">
      <alignment horizontal="center"/>
    </xf>
    <xf numFmtId="0" fontId="20" fillId="0" borderId="0" xfId="0" applyFont="1"/>
    <xf numFmtId="0" fontId="20" fillId="0" borderId="0" xfId="0" applyFont="1" applyAlignment="1">
      <alignment horizontal="left"/>
    </xf>
    <xf numFmtId="9" fontId="20" fillId="0" borderId="0" xfId="2" applyFont="1" applyBorder="1" applyAlignment="1">
      <alignment horizontal="left"/>
    </xf>
    <xf numFmtId="0" fontId="24" fillId="0" borderId="2" xfId="0" applyFont="1" applyBorder="1" applyAlignment="1">
      <alignment horizontal="left" vertical="center" wrapText="1"/>
    </xf>
    <xf numFmtId="0" fontId="16" fillId="0" borderId="2" xfId="0" applyFont="1" applyBorder="1" applyAlignment="1">
      <alignment vertical="center"/>
    </xf>
    <xf numFmtId="0" fontId="33" fillId="0" borderId="0" xfId="0" applyFont="1" applyAlignment="1">
      <alignment horizontal="left" vertical="center"/>
    </xf>
    <xf numFmtId="0" fontId="24" fillId="0" borderId="0" xfId="0" applyFont="1" applyAlignment="1">
      <alignment vertical="center"/>
    </xf>
    <xf numFmtId="0" fontId="21" fillId="0" borderId="0" xfId="2" applyNumberFormat="1" applyFont="1" applyAlignment="1">
      <alignment horizontal="left" vertical="center"/>
    </xf>
    <xf numFmtId="0" fontId="21" fillId="0" borderId="0" xfId="2" applyNumberFormat="1" applyFont="1" applyFill="1" applyBorder="1" applyAlignment="1">
      <alignment vertical="center"/>
    </xf>
    <xf numFmtId="0" fontId="21" fillId="0" borderId="0" xfId="1" applyNumberFormat="1" applyFont="1" applyBorder="1" applyAlignment="1">
      <alignment vertical="center"/>
    </xf>
    <xf numFmtId="0" fontId="21" fillId="0" borderId="0" xfId="1" applyNumberFormat="1" applyFont="1" applyAlignment="1">
      <alignment horizontal="left"/>
    </xf>
    <xf numFmtId="2" fontId="17" fillId="0" borderId="4" xfId="0" applyNumberFormat="1" applyFont="1" applyBorder="1" applyAlignment="1">
      <alignment horizontal="center" vertical="center" wrapText="1"/>
    </xf>
    <xf numFmtId="0" fontId="20" fillId="0" borderId="0" xfId="2" applyNumberFormat="1" applyFont="1" applyFill="1" applyAlignment="1">
      <alignment horizontal="left" vertical="center"/>
    </xf>
    <xf numFmtId="167" fontId="16" fillId="0" borderId="4" xfId="0" applyNumberFormat="1" applyFont="1" applyBorder="1" applyAlignment="1">
      <alignment horizontal="left" vertical="center"/>
    </xf>
    <xf numFmtId="0" fontId="17" fillId="0" borderId="0" xfId="0" applyFont="1" applyProtection="1">
      <protection locked="0"/>
    </xf>
    <xf numFmtId="0" fontId="15" fillId="0" borderId="0" xfId="0" applyFont="1" applyAlignment="1" applyProtection="1">
      <alignment vertical="center"/>
      <protection locked="0"/>
    </xf>
    <xf numFmtId="0" fontId="17" fillId="0" borderId="0" xfId="0" applyFont="1" applyAlignment="1" applyProtection="1">
      <alignment vertical="center"/>
      <protection locked="0"/>
    </xf>
    <xf numFmtId="0" fontId="10" fillId="0" borderId="0" xfId="3" applyFont="1" applyBorder="1" applyAlignment="1" applyProtection="1">
      <alignment vertical="center"/>
      <protection locked="0"/>
    </xf>
    <xf numFmtId="0" fontId="32" fillId="0" borderId="0" xfId="0" applyFont="1" applyAlignment="1">
      <alignment vertical="center"/>
    </xf>
    <xf numFmtId="0" fontId="10" fillId="0" borderId="0" xfId="3" applyFont="1" applyBorder="1" applyAlignment="1" applyProtection="1">
      <alignment horizontal="left" vertical="center"/>
    </xf>
    <xf numFmtId="0" fontId="33" fillId="0" borderId="2" xfId="3" applyNumberFormat="1" applyFont="1" applyBorder="1" applyAlignment="1" applyProtection="1">
      <alignment horizontal="left" vertical="center"/>
    </xf>
    <xf numFmtId="166" fontId="11" fillId="0" borderId="0" xfId="1" applyNumberFormat="1" applyFont="1" applyAlignment="1" applyProtection="1">
      <alignment horizontal="left" vertical="center"/>
    </xf>
    <xf numFmtId="166" fontId="11" fillId="0" borderId="0" xfId="0" applyNumberFormat="1" applyFont="1" applyAlignment="1">
      <alignment horizontal="left" vertical="center"/>
    </xf>
    <xf numFmtId="1" fontId="26" fillId="0" borderId="4" xfId="0" applyNumberFormat="1" applyFont="1" applyBorder="1" applyAlignment="1">
      <alignment horizontal="center" vertical="center"/>
    </xf>
    <xf numFmtId="1" fontId="26" fillId="0" borderId="4" xfId="0" applyNumberFormat="1" applyFont="1" applyBorder="1" applyAlignment="1" applyProtection="1">
      <alignment horizontal="center" vertical="center"/>
      <protection locked="0"/>
    </xf>
    <xf numFmtId="9" fontId="26" fillId="0" borderId="4" xfId="2" applyFont="1" applyBorder="1" applyAlignment="1" applyProtection="1">
      <alignment horizontal="center" vertical="center"/>
      <protection locked="0"/>
    </xf>
    <xf numFmtId="166" fontId="26" fillId="0" borderId="4" xfId="1" applyNumberFormat="1" applyFont="1" applyBorder="1" applyAlignment="1" applyProtection="1">
      <alignment horizontal="center" vertical="center"/>
      <protection locked="0"/>
    </xf>
    <xf numFmtId="166" fontId="26" fillId="0" borderId="4" xfId="0" applyNumberFormat="1" applyFont="1" applyBorder="1" applyAlignment="1" applyProtection="1">
      <alignment horizontal="center" vertical="center"/>
      <protection locked="0"/>
    </xf>
    <xf numFmtId="166" fontId="26" fillId="0" borderId="4" xfId="1" applyNumberFormat="1" applyFont="1" applyFill="1" applyBorder="1" applyAlignment="1" applyProtection="1">
      <alignment horizontal="left" vertical="center"/>
      <protection locked="0"/>
    </xf>
    <xf numFmtId="164" fontId="26" fillId="0" borderId="4" xfId="0" applyNumberFormat="1" applyFont="1" applyBorder="1" applyAlignment="1" applyProtection="1">
      <alignment horizontal="left" vertical="center"/>
      <protection locked="0"/>
    </xf>
    <xf numFmtId="165" fontId="26" fillId="0" borderId="4" xfId="2" applyNumberFormat="1" applyFont="1" applyBorder="1" applyAlignment="1" applyProtection="1">
      <alignment horizontal="left" vertical="center"/>
      <protection locked="0"/>
    </xf>
    <xf numFmtId="166" fontId="26" fillId="0" borderId="4" xfId="0" applyNumberFormat="1" applyFont="1" applyBorder="1" applyAlignment="1" applyProtection="1">
      <alignment horizontal="left" vertical="center"/>
      <protection locked="0"/>
    </xf>
    <xf numFmtId="1" fontId="26" fillId="0" borderId="4" xfId="0" applyNumberFormat="1" applyFont="1" applyBorder="1" applyAlignment="1" applyProtection="1">
      <alignment horizontal="left" vertical="center"/>
      <protection locked="0"/>
    </xf>
    <xf numFmtId="9" fontId="26" fillId="0" borderId="4" xfId="2" applyFont="1" applyFill="1" applyBorder="1" applyAlignment="1" applyProtection="1">
      <alignment horizontal="left" vertical="center"/>
      <protection locked="0"/>
    </xf>
    <xf numFmtId="8" fontId="26" fillId="0" borderId="4" xfId="0" applyNumberFormat="1" applyFont="1" applyBorder="1" applyAlignment="1" applyProtection="1">
      <alignment horizontal="left" vertical="center"/>
      <protection locked="0"/>
    </xf>
    <xf numFmtId="167" fontId="26" fillId="0" borderId="4" xfId="1" applyNumberFormat="1" applyFont="1" applyFill="1" applyBorder="1" applyAlignment="1" applyProtection="1">
      <alignment horizontal="center" vertical="center"/>
      <protection locked="0"/>
    </xf>
    <xf numFmtId="167" fontId="26" fillId="0" borderId="4" xfId="1" applyNumberFormat="1"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17" fillId="7" borderId="4" xfId="0" applyFont="1" applyFill="1" applyBorder="1"/>
    <xf numFmtId="0" fontId="26" fillId="0" borderId="4" xfId="0" applyFont="1" applyBorder="1" applyAlignment="1" applyProtection="1">
      <alignment horizontal="left" vertical="center"/>
      <protection locked="0"/>
    </xf>
    <xf numFmtId="167" fontId="24" fillId="0" borderId="4" xfId="0" applyNumberFormat="1" applyFont="1" applyBorder="1" applyAlignment="1">
      <alignment horizontal="right" vertical="center"/>
    </xf>
    <xf numFmtId="164" fontId="10" fillId="0" borderId="4" xfId="0" applyNumberFormat="1" applyFont="1" applyBorder="1" applyAlignment="1">
      <alignment horizontal="left" vertical="center"/>
    </xf>
    <xf numFmtId="1" fontId="10" fillId="0" borderId="4" xfId="0" applyNumberFormat="1" applyFont="1" applyBorder="1" applyAlignment="1">
      <alignment horizontal="left" vertical="center"/>
    </xf>
    <xf numFmtId="165" fontId="16" fillId="0" borderId="4" xfId="2" applyNumberFormat="1" applyFont="1" applyFill="1" applyBorder="1" applyAlignment="1">
      <alignment horizontal="left" vertical="center"/>
    </xf>
    <xf numFmtId="165" fontId="10" fillId="0" borderId="4" xfId="0" applyNumberFormat="1" applyFont="1" applyBorder="1" applyAlignment="1">
      <alignment horizontal="left" vertical="center"/>
    </xf>
    <xf numFmtId="165" fontId="10" fillId="0" borderId="4" xfId="2" applyNumberFormat="1" applyFont="1" applyFill="1" applyBorder="1" applyAlignment="1">
      <alignment horizontal="left" vertical="center"/>
    </xf>
    <xf numFmtId="167" fontId="24" fillId="0" borderId="9" xfId="0" applyNumberFormat="1" applyFont="1" applyBorder="1" applyAlignment="1">
      <alignment horizontal="center" vertical="center"/>
    </xf>
    <xf numFmtId="167" fontId="24" fillId="0" borderId="4" xfId="0" applyNumberFormat="1" applyFont="1" applyBorder="1" applyAlignment="1">
      <alignment horizontal="center" vertical="center"/>
    </xf>
    <xf numFmtId="167" fontId="20" fillId="0" borderId="0" xfId="0" applyNumberFormat="1" applyFont="1" applyAlignment="1">
      <alignment horizontal="left" vertical="center"/>
    </xf>
    <xf numFmtId="167" fontId="16" fillId="0" borderId="4" xfId="0" applyNumberFormat="1" applyFont="1" applyBorder="1" applyAlignment="1">
      <alignment horizontal="center" vertical="center"/>
    </xf>
    <xf numFmtId="0" fontId="8" fillId="0" borderId="0" xfId="5" applyAlignment="1">
      <alignment vertical="center"/>
    </xf>
    <xf numFmtId="166" fontId="10" fillId="0" borderId="4" xfId="0" applyNumberFormat="1" applyFont="1" applyBorder="1" applyAlignment="1">
      <alignment horizontal="center"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33" fillId="0" borderId="0" xfId="3" applyNumberFormat="1" applyFont="1" applyBorder="1" applyAlignment="1" applyProtection="1">
      <alignment horizontal="left" vertical="center"/>
    </xf>
    <xf numFmtId="1" fontId="26" fillId="0" borderId="8" xfId="0" applyNumberFormat="1" applyFont="1" applyBorder="1" applyAlignment="1" applyProtection="1">
      <alignment horizontal="left" vertical="center"/>
      <protection locked="0"/>
    </xf>
    <xf numFmtId="166" fontId="18" fillId="0" borderId="9" xfId="0" applyNumberFormat="1" applyFont="1" applyBorder="1" applyAlignment="1">
      <alignment horizontal="left" vertical="center"/>
    </xf>
    <xf numFmtId="167" fontId="26" fillId="0" borderId="4" xfId="1" applyNumberFormat="1" applyFont="1" applyFill="1" applyBorder="1" applyAlignment="1" applyProtection="1">
      <alignment horizontal="left" vertical="center"/>
      <protection locked="0"/>
    </xf>
    <xf numFmtId="0" fontId="26" fillId="0" borderId="0" xfId="0" applyFont="1" applyAlignment="1">
      <alignment vertical="center"/>
    </xf>
    <xf numFmtId="0" fontId="26" fillId="0" borderId="0" xfId="0" applyFont="1" applyAlignment="1">
      <alignment horizontal="center" vertical="center"/>
    </xf>
    <xf numFmtId="166" fontId="26" fillId="0" borderId="0" xfId="0" applyNumberFormat="1" applyFont="1" applyAlignment="1">
      <alignment horizontal="center" vertical="center"/>
    </xf>
    <xf numFmtId="9" fontId="26" fillId="0" borderId="0" xfId="2" applyFont="1" applyAlignment="1">
      <alignment horizontal="center" vertical="center"/>
    </xf>
    <xf numFmtId="167" fontId="16" fillId="0" borderId="0" xfId="0" applyNumberFormat="1" applyFont="1" applyAlignment="1">
      <alignment horizontal="center" vertical="center"/>
    </xf>
    <xf numFmtId="164" fontId="16" fillId="0" borderId="0" xfId="0" applyNumberFormat="1" applyFont="1" applyAlignment="1">
      <alignment horizontal="center" vertical="center"/>
    </xf>
    <xf numFmtId="0" fontId="26" fillId="0" borderId="4" xfId="6" applyNumberFormat="1" applyFont="1" applyBorder="1" applyAlignment="1">
      <alignment horizontal="center" vertical="center"/>
    </xf>
    <xf numFmtId="0" fontId="16" fillId="0" borderId="25" xfId="0" applyFont="1" applyBorder="1" applyAlignment="1">
      <alignment horizontal="center" vertical="center"/>
    </xf>
    <xf numFmtId="166" fontId="17" fillId="0" borderId="4" xfId="0" applyNumberFormat="1" applyFont="1" applyBorder="1" applyAlignment="1">
      <alignment horizontal="center" vertical="center"/>
    </xf>
    <xf numFmtId="167" fontId="26" fillId="0" borderId="4" xfId="0" applyNumberFormat="1" applyFont="1" applyBorder="1" applyAlignment="1">
      <alignment horizontal="center" vertical="center"/>
    </xf>
    <xf numFmtId="166" fontId="16" fillId="0" borderId="26" xfId="0" applyNumberFormat="1" applyFont="1" applyBorder="1" applyAlignment="1">
      <alignment horizontal="center" vertical="center"/>
    </xf>
    <xf numFmtId="9" fontId="26" fillId="0" borderId="0" xfId="2" applyFont="1" applyFill="1" applyAlignment="1">
      <alignment vertical="center"/>
    </xf>
    <xf numFmtId="0" fontId="17" fillId="3" borderId="0" xfId="0" applyFont="1" applyFill="1" applyAlignment="1">
      <alignment vertical="center"/>
    </xf>
    <xf numFmtId="0" fontId="17" fillId="7" borderId="0" xfId="0" applyFont="1" applyFill="1" applyAlignment="1">
      <alignment horizontal="center" vertical="center"/>
    </xf>
    <xf numFmtId="166" fontId="27" fillId="8" borderId="4" xfId="0" applyNumberFormat="1" applyFont="1" applyFill="1" applyBorder="1" applyAlignment="1">
      <alignment horizontal="center" vertical="center"/>
    </xf>
    <xf numFmtId="167" fontId="27" fillId="8" borderId="4" xfId="0" applyNumberFormat="1" applyFont="1" applyFill="1" applyBorder="1" applyAlignment="1">
      <alignment horizontal="center" vertical="center"/>
    </xf>
    <xf numFmtId="44" fontId="16" fillId="0" borderId="4" xfId="1" applyFont="1" applyBorder="1" applyAlignment="1">
      <alignment horizontal="center" vertical="center"/>
    </xf>
    <xf numFmtId="164" fontId="26" fillId="0" borderId="4" xfId="2" applyNumberFormat="1" applyFont="1" applyBorder="1" applyAlignment="1" applyProtection="1">
      <alignment horizontal="left" vertical="center"/>
      <protection locked="0"/>
    </xf>
    <xf numFmtId="0" fontId="26" fillId="3" borderId="0" xfId="0" applyFont="1" applyFill="1" applyAlignment="1">
      <alignment horizontal="left" vertical="center"/>
    </xf>
    <xf numFmtId="1" fontId="17" fillId="3" borderId="4" xfId="0" applyNumberFormat="1" applyFont="1" applyFill="1" applyBorder="1" applyAlignment="1">
      <alignment horizontal="center" vertical="center"/>
    </xf>
    <xf numFmtId="1" fontId="17" fillId="3" borderId="4" xfId="0" applyNumberFormat="1" applyFont="1" applyFill="1" applyBorder="1" applyAlignment="1">
      <alignment horizontal="center"/>
    </xf>
    <xf numFmtId="164" fontId="16" fillId="3" borderId="0" xfId="0" applyNumberFormat="1" applyFont="1" applyFill="1" applyAlignment="1">
      <alignment horizontal="left" vertical="center"/>
    </xf>
    <xf numFmtId="0" fontId="16" fillId="0" borderId="0" xfId="0" applyFont="1" applyAlignment="1">
      <alignment horizont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7" fillId="0" borderId="17" xfId="0" applyFont="1" applyBorder="1" applyAlignment="1">
      <alignment horizontal="left" vertical="center"/>
    </xf>
    <xf numFmtId="9" fontId="26" fillId="3" borderId="0" xfId="2" applyFont="1" applyFill="1" applyAlignment="1">
      <alignment horizontal="left" vertical="center"/>
    </xf>
    <xf numFmtId="166" fontId="10" fillId="0" borderId="4" xfId="1" applyNumberFormat="1" applyFont="1" applyFill="1" applyBorder="1" applyAlignment="1" applyProtection="1">
      <alignment horizontal="left" vertical="center"/>
      <protection locked="0"/>
    </xf>
    <xf numFmtId="165" fontId="26" fillId="0" borderId="4" xfId="2" applyNumberFormat="1" applyFont="1" applyFill="1" applyBorder="1" applyAlignment="1" applyProtection="1">
      <alignment vertical="center"/>
      <protection locked="0"/>
    </xf>
    <xf numFmtId="0" fontId="26" fillId="0" borderId="4" xfId="0" applyFont="1" applyBorder="1" applyAlignment="1" applyProtection="1">
      <alignment vertical="center"/>
      <protection locked="0"/>
    </xf>
    <xf numFmtId="9" fontId="26" fillId="0" borderId="4" xfId="2" applyFont="1" applyFill="1" applyBorder="1" applyAlignment="1" applyProtection="1">
      <alignment horizontal="center" vertical="center"/>
      <protection locked="0"/>
    </xf>
    <xf numFmtId="0" fontId="26" fillId="0" borderId="8" xfId="0" applyFont="1" applyBorder="1" applyAlignment="1" applyProtection="1">
      <alignment horizontal="left" vertical="center"/>
      <protection locked="0"/>
    </xf>
    <xf numFmtId="1" fontId="10" fillId="0" borderId="9" xfId="0" applyNumberFormat="1" applyFont="1" applyBorder="1" applyAlignment="1">
      <alignment horizontal="left" vertical="center"/>
    </xf>
    <xf numFmtId="166" fontId="10" fillId="0" borderId="4" xfId="0" applyNumberFormat="1" applyFont="1" applyBorder="1" applyAlignment="1" applyProtection="1">
      <alignment horizontal="left" vertical="center"/>
      <protection locked="0"/>
    </xf>
    <xf numFmtId="2" fontId="17" fillId="0" borderId="0" xfId="0" applyNumberFormat="1" applyFont="1" applyAlignment="1">
      <alignment horizontal="center" vertical="center"/>
    </xf>
    <xf numFmtId="167" fontId="26" fillId="0" borderId="4" xfId="0" applyNumberFormat="1" applyFont="1" applyBorder="1" applyAlignment="1" applyProtection="1">
      <alignment horizontal="left" vertical="center"/>
      <protection locked="0"/>
    </xf>
    <xf numFmtId="1" fontId="10" fillId="0" borderId="4" xfId="0" applyNumberFormat="1" applyFont="1" applyBorder="1" applyAlignment="1" applyProtection="1">
      <alignment horizontal="left" vertical="center"/>
      <protection locked="0"/>
    </xf>
    <xf numFmtId="0" fontId="17" fillId="0" borderId="5" xfId="0" applyFont="1" applyBorder="1" applyAlignment="1">
      <alignment horizontal="left" vertical="center"/>
    </xf>
    <xf numFmtId="0" fontId="17" fillId="0" borderId="22" xfId="0" applyFont="1" applyBorder="1" applyAlignment="1">
      <alignment horizontal="left" vertical="center"/>
    </xf>
    <xf numFmtId="164" fontId="17" fillId="3" borderId="0" xfId="0" applyNumberFormat="1" applyFont="1" applyFill="1" applyAlignment="1">
      <alignment vertical="center"/>
    </xf>
    <xf numFmtId="1" fontId="17" fillId="0" borderId="7" xfId="6" applyNumberFormat="1" applyFont="1" applyBorder="1" applyAlignment="1">
      <alignment vertical="center" wrapText="1"/>
    </xf>
    <xf numFmtId="1" fontId="17" fillId="0" borderId="9" xfId="6" applyNumberFormat="1" applyFont="1" applyBorder="1" applyAlignment="1">
      <alignment vertical="center" wrapText="1"/>
    </xf>
    <xf numFmtId="0" fontId="20" fillId="3" borderId="0" xfId="0" applyFont="1" applyFill="1" applyAlignment="1">
      <alignment vertical="center"/>
    </xf>
    <xf numFmtId="1" fontId="26" fillId="3" borderId="8" xfId="0" applyNumberFormat="1" applyFont="1" applyFill="1" applyBorder="1" applyAlignment="1" applyProtection="1">
      <alignment horizontal="left" vertical="center"/>
      <protection locked="0"/>
    </xf>
    <xf numFmtId="0" fontId="24" fillId="0" borderId="0" xfId="0" applyFont="1"/>
    <xf numFmtId="164" fontId="17" fillId="0" borderId="0" xfId="0" applyNumberFormat="1" applyFont="1" applyAlignment="1">
      <alignment horizontal="left"/>
    </xf>
    <xf numFmtId="0" fontId="17" fillId="3" borderId="0" xfId="0" applyFont="1" applyFill="1"/>
    <xf numFmtId="1" fontId="10" fillId="0" borderId="4" xfId="2" applyNumberFormat="1" applyFont="1" applyFill="1" applyBorder="1" applyAlignment="1" applyProtection="1">
      <alignment horizontal="left" vertical="center"/>
      <protection locked="0"/>
    </xf>
    <xf numFmtId="164" fontId="26" fillId="0" borderId="4" xfId="0" applyNumberFormat="1" applyFont="1" applyBorder="1" applyAlignment="1" applyProtection="1">
      <alignment horizontal="center" vertical="center"/>
      <protection locked="0"/>
    </xf>
    <xf numFmtId="0" fontId="24" fillId="0" borderId="0" xfId="0" applyFont="1" applyAlignment="1">
      <alignment horizontal="center"/>
    </xf>
    <xf numFmtId="0" fontId="16" fillId="0" borderId="0" xfId="0" applyFont="1" applyAlignment="1">
      <alignment horizontal="center"/>
    </xf>
    <xf numFmtId="0" fontId="16" fillId="0" borderId="0" xfId="0" applyFont="1" applyAlignment="1">
      <alignment horizontal="left" vertical="center"/>
    </xf>
    <xf numFmtId="0" fontId="17" fillId="0" borderId="0" xfId="0" applyFont="1" applyAlignment="1">
      <alignment vertical="center" wrapText="1"/>
    </xf>
    <xf numFmtId="0" fontId="25" fillId="6" borderId="0" xfId="0" applyFont="1" applyFill="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0" fillId="0" borderId="7" xfId="3" applyFont="1" applyBorder="1" applyAlignment="1" applyProtection="1">
      <alignment horizontal="center" vertical="center"/>
    </xf>
    <xf numFmtId="0" fontId="10" fillId="0" borderId="8" xfId="3" applyFont="1" applyBorder="1" applyAlignment="1" applyProtection="1">
      <alignment horizontal="center" vertical="center"/>
    </xf>
    <xf numFmtId="0" fontId="10" fillId="0" borderId="9" xfId="3" applyFont="1" applyBorder="1" applyAlignment="1" applyProtection="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17" xfId="0" applyFont="1" applyBorder="1" applyAlignment="1">
      <alignment horizontal="left" vertical="center"/>
    </xf>
    <xf numFmtId="0" fontId="17" fillId="0" borderId="22" xfId="0" applyFont="1" applyBorder="1" applyAlignment="1">
      <alignment horizontal="left" vertical="center"/>
    </xf>
    <xf numFmtId="0" fontId="17" fillId="0" borderId="0" xfId="0" applyFont="1" applyAlignment="1">
      <alignment horizontal="left" vertical="center"/>
    </xf>
    <xf numFmtId="0" fontId="26" fillId="3" borderId="8" xfId="0" applyFont="1" applyFill="1" applyBorder="1" applyAlignment="1">
      <alignment horizontal="left" vertical="center"/>
    </xf>
    <xf numFmtId="0" fontId="26" fillId="3" borderId="9" xfId="0" applyFont="1" applyFill="1" applyBorder="1" applyAlignment="1">
      <alignment horizontal="left" vertical="center"/>
    </xf>
    <xf numFmtId="0" fontId="26" fillId="0" borderId="4" xfId="0" applyFont="1" applyBorder="1" applyAlignment="1" applyProtection="1">
      <alignment horizontal="left" vertical="center"/>
      <protection locked="0"/>
    </xf>
    <xf numFmtId="0" fontId="15" fillId="6" borderId="4" xfId="0" applyFont="1" applyFill="1" applyBorder="1" applyAlignment="1">
      <alignment horizontal="center" vertical="center"/>
    </xf>
    <xf numFmtId="0" fontId="11" fillId="0" borderId="4"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26" fillId="0" borderId="4" xfId="1" applyNumberFormat="1" applyFont="1" applyFill="1" applyBorder="1" applyAlignment="1" applyProtection="1">
      <alignment horizontal="left" vertical="center"/>
      <protection locked="0"/>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20" fillId="0" borderId="4" xfId="0" applyFont="1" applyBorder="1" applyAlignment="1">
      <alignment horizontal="left" vertical="center" wrapText="1"/>
    </xf>
    <xf numFmtId="0" fontId="10" fillId="7" borderId="7"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9" xfId="0" applyFont="1" applyFill="1" applyBorder="1" applyAlignment="1">
      <alignment horizontal="center" vertical="center"/>
    </xf>
    <xf numFmtId="0" fontId="17" fillId="0" borderId="4" xfId="0" applyFont="1" applyBorder="1" applyAlignment="1">
      <alignment horizontal="center" vertical="center" wrapText="1"/>
    </xf>
    <xf numFmtId="0" fontId="20" fillId="0" borderId="4" xfId="0" applyFont="1" applyBorder="1" applyAlignment="1">
      <alignment horizontal="center" vertical="center"/>
    </xf>
    <xf numFmtId="0" fontId="17" fillId="0" borderId="9" xfId="0" applyFont="1" applyBorder="1" applyAlignment="1">
      <alignment horizontal="left" vertical="center"/>
    </xf>
    <xf numFmtId="1" fontId="26" fillId="0" borderId="4" xfId="6" applyNumberFormat="1" applyFont="1" applyBorder="1" applyAlignment="1" applyProtection="1">
      <alignment horizontal="left" vertical="center"/>
      <protection locked="0"/>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0" fillId="7" borderId="4" xfId="0" applyFont="1" applyFill="1" applyBorder="1" applyAlignment="1">
      <alignment horizontal="center" vertical="center"/>
    </xf>
    <xf numFmtId="1" fontId="17" fillId="0" borderId="4" xfId="0" applyNumberFormat="1" applyFont="1" applyBorder="1" applyAlignment="1">
      <alignment horizontal="center" vertical="center"/>
    </xf>
    <xf numFmtId="1" fontId="11" fillId="0" borderId="4" xfId="0" applyNumberFormat="1" applyFont="1" applyBorder="1" applyAlignment="1">
      <alignment horizontal="center" vertical="center"/>
    </xf>
    <xf numFmtId="0" fontId="16" fillId="0" borderId="4" xfId="0" applyFont="1" applyBorder="1" applyAlignment="1">
      <alignment horizontal="center" vertical="center"/>
    </xf>
    <xf numFmtId="0" fontId="23" fillId="0" borderId="14" xfId="0" applyFont="1" applyBorder="1" applyAlignment="1">
      <alignment horizontal="center" vertical="center"/>
    </xf>
    <xf numFmtId="0" fontId="23" fillId="0" borderId="8" xfId="0" applyFont="1" applyBorder="1" applyAlignment="1">
      <alignment horizontal="center" vertical="center"/>
    </xf>
    <xf numFmtId="0" fontId="23" fillId="0" borderId="16" xfId="0" applyFont="1" applyBorder="1" applyAlignment="1">
      <alignment horizontal="center" vertical="center"/>
    </xf>
    <xf numFmtId="0" fontId="23" fillId="0" borderId="9"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17" fillId="0" borderId="15" xfId="0" applyFont="1" applyBorder="1" applyAlignment="1">
      <alignment horizontal="center" vertical="center"/>
    </xf>
    <xf numFmtId="0" fontId="10" fillId="0" borderId="4" xfId="0" applyFont="1" applyBorder="1" applyAlignment="1">
      <alignment horizontal="center" vertical="center"/>
    </xf>
    <xf numFmtId="165" fontId="16" fillId="7" borderId="7" xfId="0" applyNumberFormat="1" applyFont="1" applyFill="1" applyBorder="1" applyAlignment="1">
      <alignment horizontal="center" vertical="center"/>
    </xf>
    <xf numFmtId="165" fontId="16" fillId="7" borderId="8" xfId="0" applyNumberFormat="1" applyFont="1" applyFill="1" applyBorder="1" applyAlignment="1">
      <alignment horizontal="center" vertical="center"/>
    </xf>
    <xf numFmtId="165" fontId="16" fillId="7" borderId="9" xfId="0" applyNumberFormat="1" applyFont="1" applyFill="1" applyBorder="1" applyAlignment="1">
      <alignment horizontal="center" vertical="center"/>
    </xf>
    <xf numFmtId="0" fontId="16" fillId="7" borderId="7" xfId="0" applyFont="1" applyFill="1" applyBorder="1" applyAlignment="1">
      <alignment horizontal="left" vertical="center"/>
    </xf>
    <xf numFmtId="0" fontId="16" fillId="7" borderId="8" xfId="0" applyFont="1" applyFill="1" applyBorder="1" applyAlignment="1">
      <alignment horizontal="left" vertical="center"/>
    </xf>
    <xf numFmtId="0" fontId="16" fillId="7" borderId="9" xfId="0" applyFont="1" applyFill="1" applyBorder="1" applyAlignment="1">
      <alignment horizontal="left"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7" fillId="7" borderId="7" xfId="0" applyFont="1" applyFill="1" applyBorder="1" applyAlignment="1">
      <alignment horizontal="center" vertical="center"/>
    </xf>
    <xf numFmtId="0" fontId="17" fillId="7" borderId="8" xfId="0" applyFont="1" applyFill="1" applyBorder="1" applyAlignment="1">
      <alignment horizontal="center" vertical="center"/>
    </xf>
    <xf numFmtId="0" fontId="17" fillId="7" borderId="9" xfId="0" applyFont="1" applyFill="1" applyBorder="1" applyAlignment="1">
      <alignment horizontal="center"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165" fontId="26" fillId="0" borderId="7" xfId="2" applyNumberFormat="1" applyFont="1" applyFill="1" applyBorder="1" applyAlignment="1" applyProtection="1">
      <alignment horizontal="left" vertical="center"/>
      <protection locked="0"/>
    </xf>
    <xf numFmtId="165" fontId="26" fillId="0" borderId="9" xfId="2" applyNumberFormat="1" applyFont="1" applyFill="1" applyBorder="1" applyAlignment="1" applyProtection="1">
      <alignment horizontal="left" vertical="center"/>
      <protection locked="0"/>
    </xf>
    <xf numFmtId="0" fontId="26" fillId="0" borderId="7" xfId="0" applyFont="1" applyBorder="1" applyAlignment="1" applyProtection="1">
      <alignment horizontal="left" vertical="center"/>
      <protection locked="0"/>
    </xf>
    <xf numFmtId="0" fontId="26" fillId="0" borderId="9" xfId="0" applyFont="1" applyBorder="1" applyAlignment="1" applyProtection="1">
      <alignment horizontal="left" vertical="center"/>
      <protection locked="0"/>
    </xf>
    <xf numFmtId="0" fontId="15" fillId="7" borderId="4" xfId="3" applyFont="1" applyFill="1" applyBorder="1" applyAlignment="1">
      <alignment horizontal="center" vertical="center"/>
    </xf>
    <xf numFmtId="0" fontId="16" fillId="7" borderId="7"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9" xfId="0" applyFont="1" applyFill="1" applyBorder="1" applyAlignment="1">
      <alignment horizontal="center" vertical="center"/>
    </xf>
    <xf numFmtId="0" fontId="16" fillId="0" borderId="4" xfId="0" applyFont="1" applyBorder="1" applyAlignment="1">
      <alignment horizontal="left" vertical="center"/>
    </xf>
    <xf numFmtId="0" fontId="17" fillId="7" borderId="0" xfId="0" applyFont="1" applyFill="1" applyAlignment="1">
      <alignment horizontal="center" vertical="center"/>
    </xf>
    <xf numFmtId="0" fontId="16" fillId="7" borderId="4" xfId="0" applyFont="1" applyFill="1" applyBorder="1" applyAlignment="1">
      <alignment horizontal="center" vertical="center"/>
    </xf>
    <xf numFmtId="0" fontId="10" fillId="0" borderId="7" xfId="4" applyFont="1" applyBorder="1" applyAlignment="1">
      <alignment horizontal="left" vertical="center"/>
    </xf>
    <xf numFmtId="0" fontId="10" fillId="0" borderId="8" xfId="4" applyFont="1" applyBorder="1" applyAlignment="1">
      <alignment horizontal="left" vertical="center"/>
    </xf>
    <xf numFmtId="0" fontId="10" fillId="0" borderId="9" xfId="4" applyFont="1" applyBorder="1" applyAlignment="1">
      <alignment horizontal="left" vertical="center"/>
    </xf>
    <xf numFmtId="0" fontId="17" fillId="7" borderId="4" xfId="0" applyFont="1" applyFill="1" applyBorder="1" applyAlignment="1">
      <alignment horizontal="center" vertical="center"/>
    </xf>
    <xf numFmtId="0" fontId="10" fillId="0" borderId="7" xfId="4" applyFont="1" applyBorder="1" applyAlignment="1">
      <alignment horizontal="center" vertical="center"/>
    </xf>
    <xf numFmtId="0" fontId="10" fillId="0" borderId="8" xfId="4" applyFont="1" applyBorder="1" applyAlignment="1">
      <alignment horizontal="center" vertical="center"/>
    </xf>
    <xf numFmtId="0" fontId="10" fillId="0" borderId="9" xfId="4" applyFont="1" applyBorder="1" applyAlignment="1">
      <alignment horizontal="center" vertical="center"/>
    </xf>
    <xf numFmtId="0" fontId="17" fillId="3" borderId="7" xfId="0" applyFont="1" applyFill="1" applyBorder="1" applyAlignment="1">
      <alignment horizontal="left" vertical="center"/>
    </xf>
    <xf numFmtId="0" fontId="17" fillId="3" borderId="9" xfId="0" applyFont="1" applyFill="1" applyBorder="1" applyAlignment="1">
      <alignment horizontal="left" vertical="center"/>
    </xf>
    <xf numFmtId="0" fontId="10" fillId="0" borderId="4" xfId="4" applyFont="1" applyFill="1" applyBorder="1" applyAlignment="1">
      <alignment horizontal="left" vertical="center"/>
    </xf>
    <xf numFmtId="0" fontId="10" fillId="0" borderId="4" xfId="0" applyFont="1" applyBorder="1" applyAlignment="1">
      <alignment horizontal="left" vertical="center"/>
    </xf>
    <xf numFmtId="0" fontId="10" fillId="7" borderId="7" xfId="4" applyFont="1" applyFill="1" applyBorder="1" applyAlignment="1">
      <alignment horizontal="left" vertical="center"/>
    </xf>
    <xf numFmtId="0" fontId="10" fillId="7" borderId="8" xfId="4" applyFont="1" applyFill="1" applyBorder="1" applyAlignment="1">
      <alignment horizontal="left" vertical="center"/>
    </xf>
    <xf numFmtId="0" fontId="10" fillId="7" borderId="9" xfId="4" applyFont="1" applyFill="1" applyBorder="1" applyAlignment="1">
      <alignment horizontal="left" vertical="center"/>
    </xf>
    <xf numFmtId="0" fontId="10" fillId="0" borderId="4" xfId="4" applyFont="1" applyBorder="1" applyAlignment="1">
      <alignment horizontal="left" vertical="center"/>
    </xf>
    <xf numFmtId="0" fontId="10" fillId="7" borderId="4" xfId="4" applyFont="1" applyFill="1" applyBorder="1" applyAlignment="1">
      <alignment horizontal="center" vertical="center"/>
    </xf>
    <xf numFmtId="0" fontId="21" fillId="0" borderId="5" xfId="0" applyFont="1" applyBorder="1" applyAlignment="1">
      <alignment horizontal="left" vertical="center" wrapText="1"/>
    </xf>
    <xf numFmtId="0" fontId="21" fillId="0" borderId="17"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0" xfId="0" applyFont="1" applyAlignment="1">
      <alignment horizontal="left" vertical="center" wrapText="1"/>
    </xf>
    <xf numFmtId="0" fontId="21" fillId="0" borderId="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 xfId="0" applyFont="1" applyBorder="1" applyAlignment="1">
      <alignment horizontal="left" vertical="center" wrapText="1"/>
    </xf>
    <xf numFmtId="0" fontId="21" fillId="0" borderId="6" xfId="0" applyFont="1" applyBorder="1" applyAlignment="1">
      <alignment horizontal="left" vertical="center" wrapText="1"/>
    </xf>
    <xf numFmtId="0" fontId="16" fillId="0" borderId="7" xfId="0" applyFont="1" applyBorder="1" applyAlignment="1">
      <alignment horizontal="left"/>
    </xf>
    <xf numFmtId="0" fontId="16" fillId="0" borderId="8" xfId="0" applyFont="1" applyBorder="1" applyAlignment="1">
      <alignment horizontal="left"/>
    </xf>
    <xf numFmtId="0" fontId="16" fillId="0" borderId="9" xfId="0" applyFont="1" applyBorder="1" applyAlignment="1">
      <alignment horizontal="left"/>
    </xf>
    <xf numFmtId="0" fontId="17" fillId="0" borderId="7" xfId="0" applyFont="1" applyBorder="1" applyAlignment="1">
      <alignment horizontal="left"/>
    </xf>
    <xf numFmtId="0" fontId="17" fillId="0" borderId="8" xfId="0" applyFont="1" applyBorder="1" applyAlignment="1">
      <alignment horizontal="left"/>
    </xf>
    <xf numFmtId="0" fontId="17" fillId="0" borderId="9" xfId="0" applyFont="1" applyBorder="1" applyAlignment="1">
      <alignment horizontal="left"/>
    </xf>
    <xf numFmtId="0" fontId="17" fillId="0" borderId="4" xfId="0" applyFont="1" applyBorder="1" applyAlignment="1">
      <alignment horizontal="left"/>
    </xf>
    <xf numFmtId="0" fontId="28" fillId="7" borderId="0" xfId="0" applyFont="1" applyFill="1" applyAlignment="1">
      <alignment horizontal="center"/>
    </xf>
    <xf numFmtId="0" fontId="16" fillId="0" borderId="4" xfId="0" applyFont="1" applyBorder="1" applyAlignment="1">
      <alignment horizontal="left"/>
    </xf>
    <xf numFmtId="0" fontId="17" fillId="7" borderId="7" xfId="0" applyFont="1" applyFill="1" applyBorder="1" applyAlignment="1">
      <alignment horizontal="center"/>
    </xf>
    <xf numFmtId="0" fontId="17" fillId="7" borderId="8" xfId="0" applyFont="1" applyFill="1" applyBorder="1" applyAlignment="1">
      <alignment horizontal="center"/>
    </xf>
    <xf numFmtId="0" fontId="17" fillId="7" borderId="9" xfId="0" applyFont="1" applyFill="1" applyBorder="1" applyAlignment="1">
      <alignment horizontal="center"/>
    </xf>
    <xf numFmtId="1" fontId="17" fillId="0" borderId="4" xfId="0" applyNumberFormat="1" applyFont="1" applyBorder="1" applyAlignment="1">
      <alignment horizontal="left"/>
    </xf>
    <xf numFmtId="0" fontId="16" fillId="0" borderId="4" xfId="0" applyFont="1" applyBorder="1" applyAlignment="1">
      <alignment horizontal="center"/>
    </xf>
    <xf numFmtId="1" fontId="17" fillId="7" borderId="4" xfId="0" applyNumberFormat="1" applyFont="1" applyFill="1" applyBorder="1" applyAlignment="1">
      <alignment horizontal="center"/>
    </xf>
    <xf numFmtId="1" fontId="17" fillId="7" borderId="7" xfId="0" applyNumberFormat="1" applyFont="1" applyFill="1" applyBorder="1" applyAlignment="1">
      <alignment horizontal="center"/>
    </xf>
    <xf numFmtId="1" fontId="17" fillId="7" borderId="8" xfId="0" applyNumberFormat="1" applyFont="1" applyFill="1" applyBorder="1" applyAlignment="1">
      <alignment horizontal="center"/>
    </xf>
    <xf numFmtId="0" fontId="17" fillId="0" borderId="4" xfId="0" applyFont="1" applyBorder="1" applyAlignment="1">
      <alignment horizontal="center"/>
    </xf>
    <xf numFmtId="0" fontId="17" fillId="0" borderId="7" xfId="0" applyFont="1" applyBorder="1" applyAlignment="1">
      <alignment horizontal="center"/>
    </xf>
    <xf numFmtId="0" fontId="17" fillId="0" borderId="9" xfId="0" applyFont="1" applyBorder="1" applyAlignment="1">
      <alignment horizontal="center"/>
    </xf>
    <xf numFmtId="1" fontId="17" fillId="0" borderId="7" xfId="6" applyNumberFormat="1" applyFont="1" applyBorder="1" applyAlignment="1">
      <alignment horizontal="center" vertical="center" wrapText="1"/>
    </xf>
    <xf numFmtId="1" fontId="17" fillId="0" borderId="9" xfId="6" applyNumberFormat="1" applyFont="1" applyBorder="1" applyAlignment="1">
      <alignment horizontal="center" vertical="center" wrapText="1"/>
    </xf>
    <xf numFmtId="0" fontId="0" fillId="0" borderId="2" xfId="0" applyBorder="1" applyAlignment="1">
      <alignment horizontal="center"/>
    </xf>
  </cellXfs>
  <cellStyles count="7">
    <cellStyle name="Comma" xfId="6" builtinId="3"/>
    <cellStyle name="Currency" xfId="1" builtinId="4"/>
    <cellStyle name="Heading 3" xfId="4" builtinId="18"/>
    <cellStyle name="Hyperlink" xfId="5" builtinId="8"/>
    <cellStyle name="Normal" xfId="0" builtinId="0"/>
    <cellStyle name="Percent" xfId="2" builtinId="5"/>
    <cellStyle name="Title" xfId="3" builtinId="15"/>
  </cellStyles>
  <dxfs count="3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FF"/>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3</xdr:row>
      <xdr:rowOff>57150</xdr:rowOff>
    </xdr:from>
    <xdr:to>
      <xdr:col>8</xdr:col>
      <xdr:colOff>441982</xdr:colOff>
      <xdr:row>7</xdr:row>
      <xdr:rowOff>57150</xdr:rowOff>
    </xdr:to>
    <xdr:pic>
      <xdr:nvPicPr>
        <xdr:cNvPr id="3" name="Picture 2" descr="AgEcon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9850" y="771525"/>
          <a:ext cx="3128032"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2.ca.uky.edu/agc/pubs/ASC/ASC191/ASC191.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B2:N24"/>
  <sheetViews>
    <sheetView showGridLines="0" tabSelected="1" workbookViewId="0">
      <selection activeCell="B25" sqref="B25"/>
    </sheetView>
  </sheetViews>
  <sheetFormatPr defaultColWidth="9" defaultRowHeight="12.75" x14ac:dyDescent="0.2"/>
  <cols>
    <col min="1" max="1" width="5.140625" style="43" customWidth="1"/>
    <col min="2" max="2" width="10.28515625" style="43" customWidth="1"/>
    <col min="3" max="12" width="9.7109375" style="43" customWidth="1"/>
    <col min="13" max="16384" width="9" style="43"/>
  </cols>
  <sheetData>
    <row r="2" spans="2:14" ht="18" x14ac:dyDescent="0.2">
      <c r="B2" s="322" t="s">
        <v>277</v>
      </c>
      <c r="C2" s="322"/>
      <c r="D2" s="322"/>
      <c r="E2" s="322"/>
      <c r="F2" s="322"/>
      <c r="G2" s="322"/>
      <c r="H2" s="322"/>
      <c r="I2" s="322"/>
      <c r="J2" s="322"/>
      <c r="K2" s="322"/>
      <c r="L2" s="322"/>
      <c r="N2" s="225"/>
    </row>
    <row r="10" spans="2:14" ht="30" customHeight="1" x14ac:dyDescent="0.2">
      <c r="B10" s="320" t="s">
        <v>155</v>
      </c>
      <c r="C10" s="320"/>
      <c r="D10" s="321" t="s">
        <v>162</v>
      </c>
      <c r="E10" s="321"/>
      <c r="F10" s="321"/>
      <c r="G10" s="321"/>
      <c r="H10" s="321"/>
      <c r="I10" s="321"/>
      <c r="J10" s="321"/>
      <c r="K10" s="321"/>
      <c r="L10" s="321"/>
    </row>
    <row r="11" spans="2:14" ht="39.75" customHeight="1" x14ac:dyDescent="0.2">
      <c r="B11" s="320" t="s">
        <v>156</v>
      </c>
      <c r="C11" s="320"/>
      <c r="D11" s="321" t="s">
        <v>451</v>
      </c>
      <c r="E11" s="321"/>
      <c r="F11" s="321"/>
      <c r="G11" s="321"/>
      <c r="H11" s="321"/>
      <c r="I11" s="321"/>
      <c r="J11" s="321"/>
      <c r="K11" s="321"/>
      <c r="L11" s="321"/>
    </row>
    <row r="12" spans="2:14" ht="43.5" customHeight="1" x14ac:dyDescent="0.2">
      <c r="B12" s="320" t="s">
        <v>157</v>
      </c>
      <c r="C12" s="320"/>
      <c r="D12" s="321" t="s">
        <v>390</v>
      </c>
      <c r="E12" s="321"/>
      <c r="F12" s="321"/>
      <c r="G12" s="321"/>
      <c r="H12" s="321"/>
      <c r="I12" s="321"/>
      <c r="J12" s="321"/>
      <c r="K12" s="321"/>
      <c r="L12" s="321"/>
    </row>
    <row r="13" spans="2:14" x14ac:dyDescent="0.2">
      <c r="B13" s="319" t="s">
        <v>158</v>
      </c>
      <c r="C13" s="319"/>
      <c r="D13" s="319"/>
      <c r="E13" s="319"/>
      <c r="F13" s="319"/>
      <c r="G13" s="319"/>
      <c r="H13" s="319"/>
      <c r="I13" s="319"/>
      <c r="J13" s="319"/>
      <c r="K13" s="319"/>
      <c r="L13" s="319"/>
    </row>
    <row r="14" spans="2:14" ht="41.25" customHeight="1" x14ac:dyDescent="0.2">
      <c r="B14" s="320" t="s">
        <v>159</v>
      </c>
      <c r="C14" s="320"/>
      <c r="D14" s="321" t="s">
        <v>447</v>
      </c>
      <c r="E14" s="321"/>
      <c r="F14" s="321"/>
      <c r="G14" s="321"/>
      <c r="H14" s="321"/>
      <c r="I14" s="321"/>
      <c r="J14" s="321"/>
      <c r="K14" s="321"/>
      <c r="L14" s="321"/>
    </row>
    <row r="15" spans="2:14" ht="53.25" customHeight="1" x14ac:dyDescent="0.2">
      <c r="B15" s="320" t="s">
        <v>160</v>
      </c>
      <c r="C15" s="320"/>
      <c r="D15" s="321" t="s">
        <v>448</v>
      </c>
      <c r="E15" s="321"/>
      <c r="F15" s="321"/>
      <c r="G15" s="321"/>
      <c r="H15" s="321"/>
      <c r="I15" s="321"/>
      <c r="J15" s="321"/>
      <c r="K15" s="321"/>
      <c r="L15" s="321"/>
    </row>
    <row r="16" spans="2:14" ht="30" customHeight="1" x14ac:dyDescent="0.2">
      <c r="B16" s="320" t="s">
        <v>161</v>
      </c>
      <c r="C16" s="320"/>
      <c r="D16" s="321" t="s">
        <v>391</v>
      </c>
      <c r="E16" s="321"/>
      <c r="F16" s="321"/>
      <c r="G16" s="321"/>
      <c r="H16" s="321"/>
      <c r="I16" s="321"/>
      <c r="J16" s="321"/>
      <c r="K16" s="321"/>
      <c r="L16" s="321"/>
    </row>
    <row r="18" spans="2:12" x14ac:dyDescent="0.2">
      <c r="B18" s="318" t="s">
        <v>143</v>
      </c>
      <c r="C18" s="318"/>
      <c r="D18" s="318"/>
      <c r="E18" s="318"/>
      <c r="F18" s="318"/>
      <c r="G18" s="318"/>
      <c r="H18" s="318"/>
      <c r="I18" s="318"/>
      <c r="J18" s="318"/>
      <c r="K18" s="318"/>
      <c r="L18" s="318"/>
    </row>
    <row r="19" spans="2:12" x14ac:dyDescent="0.2">
      <c r="D19" s="43" t="s">
        <v>144</v>
      </c>
      <c r="I19" s="43" t="s">
        <v>145</v>
      </c>
    </row>
    <row r="20" spans="2:12" x14ac:dyDescent="0.2">
      <c r="D20" s="43" t="s">
        <v>146</v>
      </c>
      <c r="I20" s="43" t="s">
        <v>364</v>
      </c>
    </row>
    <row r="21" spans="2:12" x14ac:dyDescent="0.2">
      <c r="D21" s="43" t="s">
        <v>147</v>
      </c>
      <c r="I21" s="43" t="s">
        <v>148</v>
      </c>
    </row>
    <row r="22" spans="2:12" x14ac:dyDescent="0.2">
      <c r="D22" s="98" t="s">
        <v>149</v>
      </c>
      <c r="I22" s="43" t="s">
        <v>150</v>
      </c>
    </row>
    <row r="24" spans="2:12" x14ac:dyDescent="0.2">
      <c r="B24" s="319" t="s">
        <v>574</v>
      </c>
      <c r="C24" s="319"/>
      <c r="D24" s="319"/>
      <c r="E24" s="319"/>
      <c r="F24" s="319"/>
      <c r="G24" s="319"/>
      <c r="H24" s="319"/>
      <c r="I24" s="319"/>
      <c r="J24" s="319"/>
      <c r="K24" s="319"/>
      <c r="L24" s="319"/>
    </row>
  </sheetData>
  <sheetProtection algorithmName="SHA-512" hashValue="gVxaR3dbuj4H1uBRGqB57twXVb9VLw9sg9wbZDERGcXkiYoCnoKtX5y4h7lGJaITbvmhXcpNMcF5UYcPcOWExQ==" saltValue="TPO1fOEtMByO7oFwvW/35g==" spinCount="100000" sheet="1" formatCells="0" formatColumns="0" formatRows="0"/>
  <mergeCells count="16">
    <mergeCell ref="B12:C12"/>
    <mergeCell ref="D12:L12"/>
    <mergeCell ref="B13:L13"/>
    <mergeCell ref="B14:C14"/>
    <mergeCell ref="D14:L14"/>
    <mergeCell ref="B2:L2"/>
    <mergeCell ref="B10:C10"/>
    <mergeCell ref="D10:L10"/>
    <mergeCell ref="B11:C11"/>
    <mergeCell ref="D11:L11"/>
    <mergeCell ref="B18:L18"/>
    <mergeCell ref="B24:L24"/>
    <mergeCell ref="B15:C15"/>
    <mergeCell ref="D15:L15"/>
    <mergeCell ref="B16:C16"/>
    <mergeCell ref="D16:L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A1:O51"/>
  <sheetViews>
    <sheetView workbookViewId="0">
      <selection activeCell="J13" sqref="J13"/>
    </sheetView>
  </sheetViews>
  <sheetFormatPr defaultRowHeight="15" x14ac:dyDescent="0.25"/>
  <cols>
    <col min="1" max="1" width="11.28515625" customWidth="1"/>
    <col min="2" max="2" width="11.7109375" bestFit="1" customWidth="1"/>
    <col min="3" max="3" width="15.5703125" bestFit="1" customWidth="1"/>
    <col min="4" max="4" width="7" customWidth="1"/>
    <col min="7" max="7" width="14.5703125" customWidth="1"/>
    <col min="8" max="8" width="11.28515625" bestFit="1" customWidth="1"/>
    <col min="9" max="9" width="11.28515625" customWidth="1"/>
    <col min="10" max="10" width="11.7109375" bestFit="1" customWidth="1"/>
    <col min="11" max="11" width="11.7109375" customWidth="1"/>
    <col min="12" max="12" width="8.42578125" customWidth="1"/>
  </cols>
  <sheetData>
    <row r="1" spans="1:11" x14ac:dyDescent="0.25">
      <c r="A1" t="s">
        <v>40</v>
      </c>
    </row>
    <row r="2" spans="1:11" x14ac:dyDescent="0.25">
      <c r="F2" s="8" t="s">
        <v>36</v>
      </c>
      <c r="G2" s="9"/>
      <c r="H2" s="7" t="s">
        <v>33</v>
      </c>
      <c r="I2" s="7" t="s">
        <v>34</v>
      </c>
      <c r="J2" s="7" t="s">
        <v>35</v>
      </c>
      <c r="K2" s="7" t="s">
        <v>51</v>
      </c>
    </row>
    <row r="3" spans="1:11" x14ac:dyDescent="0.25">
      <c r="A3" s="452" t="s">
        <v>28</v>
      </c>
      <c r="B3" s="452"/>
      <c r="C3" s="452"/>
      <c r="D3" s="452"/>
      <c r="F3" s="3" t="s">
        <v>76</v>
      </c>
      <c r="G3" s="11"/>
      <c r="H3" s="4">
        <v>4</v>
      </c>
      <c r="I3" s="4">
        <f>H3*50</f>
        <v>200</v>
      </c>
      <c r="J3" s="1">
        <f>I3/25</f>
        <v>8</v>
      </c>
      <c r="K3" s="10">
        <f>7/(18*7)</f>
        <v>5.5555555555555552E-2</v>
      </c>
    </row>
    <row r="4" spans="1:11" x14ac:dyDescent="0.25">
      <c r="A4" s="5" t="s">
        <v>29</v>
      </c>
      <c r="B4" s="5" t="s">
        <v>30</v>
      </c>
      <c r="C4" s="5" t="s">
        <v>31</v>
      </c>
      <c r="D4" s="5" t="s">
        <v>32</v>
      </c>
      <c r="F4" s="3" t="s">
        <v>54</v>
      </c>
      <c r="G4" s="11"/>
      <c r="H4" s="4">
        <v>4</v>
      </c>
      <c r="I4" s="4">
        <f>H4*50</f>
        <v>200</v>
      </c>
      <c r="J4" s="1">
        <f>I4/25</f>
        <v>8</v>
      </c>
      <c r="K4" s="10">
        <f>8/(18*7)</f>
        <v>6.3492063492063489E-2</v>
      </c>
    </row>
    <row r="5" spans="1:11" x14ac:dyDescent="0.25">
      <c r="A5" s="1">
        <v>0</v>
      </c>
      <c r="B5" s="1">
        <v>0.08</v>
      </c>
      <c r="C5" s="1">
        <v>0.11</v>
      </c>
      <c r="D5" s="6">
        <f t="shared" ref="D5:D14" si="0">C5/B5</f>
        <v>1.375</v>
      </c>
      <c r="F5" s="3" t="s">
        <v>39</v>
      </c>
      <c r="G5" s="11"/>
      <c r="H5" s="4">
        <v>5</v>
      </c>
      <c r="I5" s="4">
        <f>H5*50</f>
        <v>250</v>
      </c>
      <c r="J5" s="1">
        <f>I5/25</f>
        <v>10</v>
      </c>
      <c r="K5" s="10">
        <f>9/(20*7)</f>
        <v>6.4285714285714279E-2</v>
      </c>
    </row>
    <row r="6" spans="1:11" x14ac:dyDescent="0.25">
      <c r="A6" s="1">
        <v>2</v>
      </c>
      <c r="B6" s="1">
        <v>0.22</v>
      </c>
      <c r="C6" s="1">
        <v>0.42</v>
      </c>
      <c r="D6" s="6">
        <f t="shared" si="0"/>
        <v>1.9090909090909089</v>
      </c>
      <c r="H6" s="4"/>
      <c r="I6" s="4"/>
      <c r="J6" s="1"/>
    </row>
    <row r="7" spans="1:11" x14ac:dyDescent="0.25">
      <c r="A7" s="1">
        <v>4</v>
      </c>
      <c r="B7" s="1">
        <v>0.56999999999999995</v>
      </c>
      <c r="C7" s="1">
        <v>0.99</v>
      </c>
      <c r="D7" s="6">
        <f t="shared" si="0"/>
        <v>1.736842105263158</v>
      </c>
      <c r="F7" s="8" t="s">
        <v>38</v>
      </c>
      <c r="G7" s="9"/>
      <c r="H7" s="7" t="s">
        <v>33</v>
      </c>
      <c r="I7" s="7" t="s">
        <v>34</v>
      </c>
      <c r="J7" s="7" t="s">
        <v>37</v>
      </c>
      <c r="K7" s="7" t="s">
        <v>51</v>
      </c>
    </row>
    <row r="8" spans="1:11" x14ac:dyDescent="0.25">
      <c r="A8" s="1">
        <v>6</v>
      </c>
      <c r="B8" s="1">
        <v>0.99</v>
      </c>
      <c r="C8" s="1">
        <v>1.74</v>
      </c>
      <c r="D8" s="6">
        <f t="shared" si="0"/>
        <v>1.7575757575757576</v>
      </c>
      <c r="F8" s="3" t="s">
        <v>53</v>
      </c>
      <c r="G8" s="11"/>
      <c r="H8" s="1">
        <v>3.5</v>
      </c>
      <c r="I8" s="1">
        <f>H8*50</f>
        <v>175</v>
      </c>
      <c r="J8" s="1">
        <f>I8/25</f>
        <v>7</v>
      </c>
      <c r="K8" s="10">
        <f>7/30</f>
        <v>0.23333333333333334</v>
      </c>
    </row>
    <row r="9" spans="1:11" x14ac:dyDescent="0.25">
      <c r="A9" s="1">
        <v>8</v>
      </c>
      <c r="B9" s="1">
        <v>1.46</v>
      </c>
      <c r="C9" s="1">
        <v>2.54</v>
      </c>
      <c r="D9" s="6">
        <f t="shared" si="0"/>
        <v>1.7397260273972603</v>
      </c>
      <c r="F9" s="3" t="s">
        <v>52</v>
      </c>
      <c r="G9" s="11"/>
      <c r="H9" s="1">
        <v>4</v>
      </c>
      <c r="I9" s="1">
        <f>H9*50</f>
        <v>200</v>
      </c>
      <c r="J9" s="1">
        <f>I9/25</f>
        <v>8</v>
      </c>
      <c r="K9" s="10">
        <f>8/30</f>
        <v>0.26666666666666666</v>
      </c>
    </row>
    <row r="10" spans="1:11" x14ac:dyDescent="0.25">
      <c r="A10" s="1">
        <v>10</v>
      </c>
      <c r="B10" s="1">
        <v>1.65</v>
      </c>
      <c r="C10" s="1">
        <v>3.37</v>
      </c>
      <c r="D10" s="6">
        <f t="shared" si="0"/>
        <v>2.0424242424242425</v>
      </c>
      <c r="F10" s="3" t="s">
        <v>55</v>
      </c>
      <c r="G10" s="11"/>
      <c r="H10" s="1">
        <v>4.25</v>
      </c>
      <c r="I10" s="1">
        <f>H10*50</f>
        <v>212.5</v>
      </c>
      <c r="J10" s="1">
        <f>I10/25</f>
        <v>8.5</v>
      </c>
      <c r="K10" s="10">
        <f>8.5/30</f>
        <v>0.28333333333333333</v>
      </c>
    </row>
    <row r="11" spans="1:11" x14ac:dyDescent="0.25">
      <c r="A11" s="1">
        <v>12</v>
      </c>
      <c r="B11" s="1">
        <v>2.16</v>
      </c>
      <c r="C11" s="1">
        <v>4.25</v>
      </c>
      <c r="D11" s="6">
        <f t="shared" si="0"/>
        <v>1.9675925925925926</v>
      </c>
      <c r="F11" s="1"/>
      <c r="G11" s="1"/>
    </row>
    <row r="12" spans="1:11" x14ac:dyDescent="0.25">
      <c r="A12" s="1">
        <v>14</v>
      </c>
      <c r="B12" s="1">
        <v>2.4300000000000002</v>
      </c>
      <c r="C12" s="1">
        <v>5.18</v>
      </c>
      <c r="D12" s="6">
        <f t="shared" si="0"/>
        <v>2.1316872427983538</v>
      </c>
      <c r="F12" s="1"/>
      <c r="G12" s="1"/>
    </row>
    <row r="13" spans="1:11" x14ac:dyDescent="0.25">
      <c r="A13" s="1">
        <v>16</v>
      </c>
      <c r="B13" s="1">
        <v>2.69</v>
      </c>
      <c r="C13" s="1">
        <v>6.13</v>
      </c>
      <c r="D13" s="6">
        <f t="shared" si="0"/>
        <v>2.2788104089219332</v>
      </c>
      <c r="F13" s="1"/>
      <c r="G13" s="1"/>
    </row>
    <row r="14" spans="1:11" x14ac:dyDescent="0.25">
      <c r="A14" s="4">
        <v>18</v>
      </c>
      <c r="B14" s="1">
        <v>3.03</v>
      </c>
      <c r="C14" s="1">
        <v>7.12</v>
      </c>
      <c r="D14" s="6">
        <f t="shared" si="0"/>
        <v>2.3498349834983498</v>
      </c>
    </row>
    <row r="15" spans="1:11" x14ac:dyDescent="0.25">
      <c r="A15" s="4">
        <v>20</v>
      </c>
      <c r="B15" s="1">
        <v>3.25</v>
      </c>
      <c r="C15" s="1">
        <v>8.2200000000000006</v>
      </c>
      <c r="D15" s="6">
        <f>C15/B15</f>
        <v>2.5292307692307694</v>
      </c>
    </row>
    <row r="17" spans="1:13" x14ac:dyDescent="0.25">
      <c r="A17" s="5" t="s">
        <v>29</v>
      </c>
      <c r="B17" s="5" t="s">
        <v>30</v>
      </c>
      <c r="C17" s="5"/>
      <c r="D17" s="5" t="s">
        <v>31</v>
      </c>
    </row>
    <row r="18" spans="1:13" x14ac:dyDescent="0.25">
      <c r="A18" s="5"/>
      <c r="B18" s="5" t="s">
        <v>41</v>
      </c>
      <c r="C18" s="5" t="s">
        <v>42</v>
      </c>
      <c r="D18" s="5"/>
      <c r="F18" t="s">
        <v>59</v>
      </c>
    </row>
    <row r="19" spans="1:13" x14ac:dyDescent="0.25">
      <c r="A19" s="1">
        <v>0</v>
      </c>
      <c r="B19" s="1">
        <v>0.08</v>
      </c>
      <c r="C19" s="10">
        <f>B19^2</f>
        <v>6.4000000000000003E-3</v>
      </c>
      <c r="D19" s="1">
        <v>0.11</v>
      </c>
      <c r="F19" s="1" t="s">
        <v>57</v>
      </c>
      <c r="G19" s="1" t="s">
        <v>68</v>
      </c>
      <c r="H19" s="1" t="s">
        <v>43</v>
      </c>
      <c r="I19" s="1" t="s">
        <v>67</v>
      </c>
      <c r="J19" s="1" t="s">
        <v>56</v>
      </c>
      <c r="K19" s="1" t="s">
        <v>34</v>
      </c>
      <c r="L19" s="1" t="s">
        <v>58</v>
      </c>
    </row>
    <row r="20" spans="1:13" x14ac:dyDescent="0.25">
      <c r="A20" s="1">
        <v>1</v>
      </c>
      <c r="B20" s="10">
        <v>0.15</v>
      </c>
      <c r="C20" s="10">
        <f t="shared" ref="C20:C39" si="1">B20^2</f>
        <v>2.2499999999999999E-2</v>
      </c>
      <c r="D20" s="10">
        <v>0.26500000000000001</v>
      </c>
      <c r="F20" s="1">
        <v>1</v>
      </c>
      <c r="G20" s="1">
        <f>F20^2</f>
        <v>1</v>
      </c>
      <c r="H20" s="10">
        <v>0.17</v>
      </c>
      <c r="I20" s="10">
        <f>H20^2</f>
        <v>2.8900000000000006E-2</v>
      </c>
      <c r="J20" s="10">
        <v>0.22</v>
      </c>
      <c r="K20" s="10">
        <f>J20</f>
        <v>0.22</v>
      </c>
      <c r="L20" s="6">
        <f t="shared" ref="L20:L50" si="2">K20/H20</f>
        <v>1.2941176470588234</v>
      </c>
    </row>
    <row r="21" spans="1:13" x14ac:dyDescent="0.25">
      <c r="A21" s="1">
        <v>2</v>
      </c>
      <c r="B21" s="1">
        <v>0.22</v>
      </c>
      <c r="C21" s="10">
        <f t="shared" si="1"/>
        <v>4.8399999999999999E-2</v>
      </c>
      <c r="D21" s="1">
        <v>0.42</v>
      </c>
      <c r="F21" s="1">
        <v>2</v>
      </c>
      <c r="G21" s="1">
        <f t="shared" ref="G21:G50" si="3">F21^2</f>
        <v>4</v>
      </c>
      <c r="H21" s="1">
        <v>0.28999999999999998</v>
      </c>
      <c r="I21" s="10">
        <f t="shared" ref="I21:I50" si="4">H21^2</f>
        <v>8.4099999999999994E-2</v>
      </c>
      <c r="J21" s="1">
        <v>0.26</v>
      </c>
      <c r="K21" s="10">
        <f>SUM($J$20:J21)</f>
        <v>0.48</v>
      </c>
      <c r="L21" s="6">
        <f t="shared" si="2"/>
        <v>1.6551724137931034</v>
      </c>
    </row>
    <row r="22" spans="1:13" x14ac:dyDescent="0.25">
      <c r="A22" s="1">
        <v>3</v>
      </c>
      <c r="B22" s="10">
        <v>0.39499999999999996</v>
      </c>
      <c r="C22" s="10">
        <f t="shared" si="1"/>
        <v>0.15602499999999997</v>
      </c>
      <c r="D22" s="10">
        <v>0.70499999999999996</v>
      </c>
      <c r="F22" s="1">
        <v>3</v>
      </c>
      <c r="G22" s="1">
        <f t="shared" si="3"/>
        <v>9</v>
      </c>
      <c r="H22" s="10">
        <v>0.45</v>
      </c>
      <c r="I22" s="10">
        <f t="shared" si="4"/>
        <v>0.20250000000000001</v>
      </c>
      <c r="J22" s="10">
        <v>0.33</v>
      </c>
      <c r="K22" s="10">
        <f>SUM($J$20:J22)</f>
        <v>0.81</v>
      </c>
      <c r="L22" s="6">
        <f t="shared" si="2"/>
        <v>1.8</v>
      </c>
      <c r="M22" t="s">
        <v>62</v>
      </c>
    </row>
    <row r="23" spans="1:13" x14ac:dyDescent="0.25">
      <c r="A23" s="1">
        <v>4</v>
      </c>
      <c r="B23" s="1">
        <v>0.56999999999999995</v>
      </c>
      <c r="C23" s="10">
        <f t="shared" si="1"/>
        <v>0.32489999999999997</v>
      </c>
      <c r="D23" s="1">
        <v>0.99</v>
      </c>
      <c r="F23" s="1">
        <v>4</v>
      </c>
      <c r="G23" s="1">
        <f t="shared" si="3"/>
        <v>16</v>
      </c>
      <c r="H23" s="1">
        <v>0.65</v>
      </c>
      <c r="I23" s="10">
        <f t="shared" si="4"/>
        <v>0.42250000000000004</v>
      </c>
      <c r="J23" s="1">
        <v>0.44</v>
      </c>
      <c r="K23" s="10">
        <f>SUM($J$20:J23)</f>
        <v>1.25</v>
      </c>
      <c r="L23" s="6">
        <f t="shared" si="2"/>
        <v>1.9230769230769229</v>
      </c>
      <c r="M23" t="s">
        <v>63</v>
      </c>
    </row>
    <row r="24" spans="1:13" x14ac:dyDescent="0.25">
      <c r="A24" s="1">
        <v>5</v>
      </c>
      <c r="B24" s="10">
        <v>0.78</v>
      </c>
      <c r="C24" s="10">
        <f t="shared" si="1"/>
        <v>0.60840000000000005</v>
      </c>
      <c r="D24" s="10">
        <v>1.365</v>
      </c>
      <c r="F24" s="1">
        <v>5</v>
      </c>
      <c r="G24" s="1">
        <f t="shared" si="3"/>
        <v>25</v>
      </c>
      <c r="H24" s="10">
        <v>0.88</v>
      </c>
      <c r="I24" s="10">
        <f t="shared" si="4"/>
        <v>0.77439999999999998</v>
      </c>
      <c r="J24" s="10">
        <v>0.6</v>
      </c>
      <c r="K24" s="10">
        <f>SUM($J$20:J24)</f>
        <v>1.85</v>
      </c>
      <c r="L24" s="6">
        <f t="shared" si="2"/>
        <v>2.1022727272727275</v>
      </c>
      <c r="M24" t="s">
        <v>64</v>
      </c>
    </row>
    <row r="25" spans="1:13" x14ac:dyDescent="0.25">
      <c r="A25" s="1">
        <v>6</v>
      </c>
      <c r="B25" s="1">
        <v>0.99</v>
      </c>
      <c r="C25" s="10">
        <f t="shared" si="1"/>
        <v>0.98009999999999997</v>
      </c>
      <c r="D25" s="1">
        <v>1.74</v>
      </c>
      <c r="F25" s="1">
        <v>6</v>
      </c>
      <c r="G25" s="1">
        <f t="shared" si="3"/>
        <v>36</v>
      </c>
      <c r="H25" s="1">
        <v>1.1000000000000001</v>
      </c>
      <c r="I25" s="10">
        <f t="shared" si="4"/>
        <v>1.2100000000000002</v>
      </c>
      <c r="J25" s="1">
        <v>0.66</v>
      </c>
      <c r="K25" s="10">
        <f>SUM($J$20:J25)</f>
        <v>2.5100000000000002</v>
      </c>
      <c r="L25" s="6">
        <f t="shared" si="2"/>
        <v>2.2818181818181817</v>
      </c>
      <c r="M25" t="s">
        <v>65</v>
      </c>
    </row>
    <row r="26" spans="1:13" x14ac:dyDescent="0.25">
      <c r="A26" s="1">
        <v>7</v>
      </c>
      <c r="B26" s="10">
        <v>1.2250000000000001</v>
      </c>
      <c r="C26" s="10">
        <f t="shared" si="1"/>
        <v>1.5006250000000003</v>
      </c>
      <c r="D26" s="10">
        <v>2.14</v>
      </c>
      <c r="F26" s="1">
        <v>7</v>
      </c>
      <c r="G26" s="1">
        <f t="shared" si="3"/>
        <v>49</v>
      </c>
      <c r="H26" s="10">
        <v>1.34</v>
      </c>
      <c r="I26" s="10">
        <f t="shared" si="4"/>
        <v>1.7956000000000003</v>
      </c>
      <c r="J26" s="10">
        <v>0.71</v>
      </c>
      <c r="K26" s="10">
        <f>SUM($J$20:J26)</f>
        <v>3.22</v>
      </c>
      <c r="L26" s="6">
        <f t="shared" si="2"/>
        <v>2.4029850746268657</v>
      </c>
      <c r="M26" t="s">
        <v>66</v>
      </c>
    </row>
    <row r="27" spans="1:13" x14ac:dyDescent="0.25">
      <c r="A27" s="1">
        <v>8</v>
      </c>
      <c r="B27" s="1">
        <v>1.46</v>
      </c>
      <c r="C27" s="10">
        <f t="shared" si="1"/>
        <v>2.1315999999999997</v>
      </c>
      <c r="D27" s="1">
        <v>2.54</v>
      </c>
      <c r="F27" s="1">
        <v>8</v>
      </c>
      <c r="G27" s="1">
        <f t="shared" si="3"/>
        <v>64</v>
      </c>
      <c r="H27" s="1">
        <v>1.58</v>
      </c>
      <c r="I27" s="10">
        <f t="shared" si="4"/>
        <v>2.4964000000000004</v>
      </c>
      <c r="J27" s="1">
        <v>0.75</v>
      </c>
      <c r="K27" s="10">
        <f>SUM($J$20:J27)</f>
        <v>3.97</v>
      </c>
      <c r="L27" s="6">
        <f t="shared" si="2"/>
        <v>2.5126582278481013</v>
      </c>
    </row>
    <row r="28" spans="1:13" x14ac:dyDescent="0.25">
      <c r="A28" s="1">
        <v>9</v>
      </c>
      <c r="B28" s="10">
        <v>1.5549999999999999</v>
      </c>
      <c r="C28" s="10">
        <f t="shared" si="1"/>
        <v>2.4180249999999996</v>
      </c>
      <c r="D28" s="10">
        <v>2.9550000000000001</v>
      </c>
      <c r="F28" s="1">
        <v>9</v>
      </c>
      <c r="G28" s="1">
        <f t="shared" si="3"/>
        <v>81</v>
      </c>
      <c r="H28" s="10">
        <v>1.82</v>
      </c>
      <c r="I28" s="10">
        <f t="shared" si="4"/>
        <v>3.3124000000000002</v>
      </c>
      <c r="J28" s="10">
        <v>0.82</v>
      </c>
      <c r="K28" s="10">
        <f>SUM($J$20:J28)</f>
        <v>4.79</v>
      </c>
      <c r="L28" s="6">
        <f t="shared" si="2"/>
        <v>2.6318681318681318</v>
      </c>
    </row>
    <row r="29" spans="1:13" x14ac:dyDescent="0.25">
      <c r="A29" s="1">
        <v>10</v>
      </c>
      <c r="B29" s="1">
        <v>1.65</v>
      </c>
      <c r="C29" s="10">
        <f t="shared" si="1"/>
        <v>2.7224999999999997</v>
      </c>
      <c r="D29" s="1">
        <v>3.37</v>
      </c>
      <c r="F29" s="1">
        <v>10</v>
      </c>
      <c r="G29" s="1">
        <f t="shared" si="3"/>
        <v>100</v>
      </c>
      <c r="H29" s="1">
        <v>1.98</v>
      </c>
      <c r="I29" s="10">
        <f t="shared" si="4"/>
        <v>3.9203999999999999</v>
      </c>
      <c r="J29" s="1">
        <v>0.84</v>
      </c>
      <c r="K29" s="10">
        <f>SUM($J$20:J29)</f>
        <v>5.63</v>
      </c>
      <c r="L29" s="6">
        <f t="shared" si="2"/>
        <v>2.8434343434343434</v>
      </c>
    </row>
    <row r="30" spans="1:13" x14ac:dyDescent="0.25">
      <c r="A30" s="1">
        <v>11</v>
      </c>
      <c r="B30" s="10">
        <v>1.905</v>
      </c>
      <c r="C30" s="10">
        <f t="shared" si="1"/>
        <v>3.6290249999999999</v>
      </c>
      <c r="D30" s="10">
        <v>3.81</v>
      </c>
      <c r="F30" s="1">
        <v>11</v>
      </c>
      <c r="G30" s="1">
        <f t="shared" si="3"/>
        <v>121</v>
      </c>
      <c r="H30" s="10">
        <v>2.17</v>
      </c>
      <c r="I30" s="10">
        <f t="shared" si="4"/>
        <v>4.7088999999999999</v>
      </c>
      <c r="J30" s="10">
        <v>0.86</v>
      </c>
      <c r="K30" s="10">
        <f>SUM($J$20:J30)</f>
        <v>6.49</v>
      </c>
      <c r="L30" s="6">
        <f t="shared" si="2"/>
        <v>2.9907834101382491</v>
      </c>
    </row>
    <row r="31" spans="1:13" x14ac:dyDescent="0.25">
      <c r="A31" s="1">
        <v>12</v>
      </c>
      <c r="B31" s="1">
        <v>2.16</v>
      </c>
      <c r="C31" s="10">
        <f t="shared" si="1"/>
        <v>4.6656000000000004</v>
      </c>
      <c r="D31" s="1">
        <v>4.25</v>
      </c>
      <c r="F31" s="1">
        <v>12</v>
      </c>
      <c r="G31" s="1">
        <f t="shared" si="3"/>
        <v>144</v>
      </c>
      <c r="H31" s="1">
        <v>2.37</v>
      </c>
      <c r="I31" s="10">
        <f t="shared" si="4"/>
        <v>5.6169000000000002</v>
      </c>
      <c r="J31" s="1">
        <v>0.88</v>
      </c>
      <c r="K31" s="10">
        <f>SUM($J$20:J31)</f>
        <v>7.37</v>
      </c>
      <c r="L31" s="6">
        <f t="shared" si="2"/>
        <v>3.109704641350211</v>
      </c>
    </row>
    <row r="32" spans="1:13" x14ac:dyDescent="0.25">
      <c r="A32" s="1">
        <v>13</v>
      </c>
      <c r="B32" s="10">
        <v>2.2949999999999999</v>
      </c>
      <c r="C32" s="10">
        <f t="shared" si="1"/>
        <v>5.2670249999999994</v>
      </c>
      <c r="D32" s="10">
        <v>4.7149999999999999</v>
      </c>
      <c r="F32" s="1">
        <v>13</v>
      </c>
      <c r="G32" s="1">
        <f t="shared" si="3"/>
        <v>169</v>
      </c>
      <c r="H32" s="10">
        <v>2.54</v>
      </c>
      <c r="I32" s="10">
        <f t="shared" si="4"/>
        <v>6.4516</v>
      </c>
      <c r="J32" s="10">
        <v>0.9</v>
      </c>
      <c r="K32" s="10">
        <f>SUM($J$20:J32)</f>
        <v>8.27</v>
      </c>
      <c r="L32" s="6">
        <f t="shared" si="2"/>
        <v>3.2559055118110236</v>
      </c>
    </row>
    <row r="33" spans="1:15" x14ac:dyDescent="0.25">
      <c r="A33" s="1">
        <v>14</v>
      </c>
      <c r="B33" s="1">
        <v>2.4300000000000002</v>
      </c>
      <c r="C33" s="10">
        <f t="shared" si="1"/>
        <v>5.9049000000000005</v>
      </c>
      <c r="D33" s="1">
        <v>5.18</v>
      </c>
      <c r="F33" s="1">
        <v>14</v>
      </c>
      <c r="G33" s="1">
        <f t="shared" si="3"/>
        <v>196</v>
      </c>
      <c r="H33" s="1">
        <v>2.64</v>
      </c>
      <c r="I33" s="10">
        <f t="shared" si="4"/>
        <v>6.9696000000000007</v>
      </c>
      <c r="J33" s="1">
        <v>0.93</v>
      </c>
      <c r="K33" s="10">
        <f>SUM($J$20:J33)</f>
        <v>9.1999999999999993</v>
      </c>
      <c r="L33" s="6">
        <f t="shared" si="2"/>
        <v>3.4848484848484844</v>
      </c>
    </row>
    <row r="34" spans="1:15" x14ac:dyDescent="0.25">
      <c r="A34" s="1">
        <v>15</v>
      </c>
      <c r="B34" s="10">
        <v>2.56</v>
      </c>
      <c r="C34" s="10">
        <f t="shared" si="1"/>
        <v>6.5536000000000003</v>
      </c>
      <c r="D34" s="10">
        <v>5.6549999999999994</v>
      </c>
      <c r="F34" s="1">
        <v>15</v>
      </c>
      <c r="G34" s="1">
        <f t="shared" si="3"/>
        <v>225</v>
      </c>
      <c r="H34" s="10">
        <v>2.75</v>
      </c>
      <c r="I34" s="10">
        <f t="shared" si="4"/>
        <v>7.5625</v>
      </c>
      <c r="J34" s="10">
        <v>0.95</v>
      </c>
      <c r="K34" s="10">
        <f>SUM($J$20:J34)</f>
        <v>10.149999999999999</v>
      </c>
      <c r="L34" s="6">
        <f t="shared" si="2"/>
        <v>3.6909090909090905</v>
      </c>
    </row>
    <row r="35" spans="1:15" x14ac:dyDescent="0.25">
      <c r="A35" s="1">
        <v>16</v>
      </c>
      <c r="B35" s="1">
        <v>2.69</v>
      </c>
      <c r="C35" s="10">
        <f t="shared" si="1"/>
        <v>7.2360999999999995</v>
      </c>
      <c r="D35" s="1">
        <v>6.13</v>
      </c>
      <c r="F35" s="1">
        <v>16</v>
      </c>
      <c r="G35" s="1">
        <f t="shared" si="3"/>
        <v>256</v>
      </c>
      <c r="H35" s="1">
        <v>2.82</v>
      </c>
      <c r="I35" s="10">
        <f t="shared" si="4"/>
        <v>7.952399999999999</v>
      </c>
      <c r="J35" s="1">
        <v>0.97</v>
      </c>
      <c r="K35" s="10">
        <f>SUM($J$20:J35)</f>
        <v>11.12</v>
      </c>
      <c r="L35" s="6">
        <f t="shared" si="2"/>
        <v>3.9432624113475176</v>
      </c>
    </row>
    <row r="36" spans="1:15" x14ac:dyDescent="0.25">
      <c r="A36" s="1">
        <v>17</v>
      </c>
      <c r="B36" s="10">
        <v>2.86</v>
      </c>
      <c r="C36" s="10">
        <f t="shared" si="1"/>
        <v>8.1795999999999989</v>
      </c>
      <c r="D36" s="10">
        <v>6.625</v>
      </c>
      <c r="F36" s="1">
        <v>17</v>
      </c>
      <c r="G36" s="1">
        <f t="shared" si="3"/>
        <v>289</v>
      </c>
      <c r="H36" s="10">
        <v>2.89</v>
      </c>
      <c r="I36" s="10">
        <f t="shared" si="4"/>
        <v>8.3521000000000001</v>
      </c>
      <c r="J36" s="10">
        <v>0.99</v>
      </c>
      <c r="K36" s="10">
        <f>SUM($J$20:J36)</f>
        <v>12.11</v>
      </c>
      <c r="L36" s="6">
        <f t="shared" si="2"/>
        <v>4.1903114186851207</v>
      </c>
    </row>
    <row r="37" spans="1:15" x14ac:dyDescent="0.25">
      <c r="A37" s="4">
        <v>18</v>
      </c>
      <c r="B37" s="1">
        <v>3.03</v>
      </c>
      <c r="C37" s="10">
        <f t="shared" si="1"/>
        <v>9.1808999999999994</v>
      </c>
      <c r="D37" s="1">
        <v>7.12</v>
      </c>
      <c r="F37" s="1">
        <v>18</v>
      </c>
      <c r="G37" s="1">
        <f t="shared" si="3"/>
        <v>324</v>
      </c>
      <c r="H37" s="1">
        <v>2.95</v>
      </c>
      <c r="I37" s="10">
        <f t="shared" si="4"/>
        <v>8.7025000000000006</v>
      </c>
      <c r="J37" s="1">
        <v>1.01</v>
      </c>
      <c r="K37" s="10">
        <f>SUM($J$20:J37)</f>
        <v>13.12</v>
      </c>
      <c r="L37" s="6">
        <f t="shared" si="2"/>
        <v>4.4474576271186432</v>
      </c>
    </row>
    <row r="38" spans="1:15" x14ac:dyDescent="0.25">
      <c r="A38" s="1">
        <v>19</v>
      </c>
      <c r="B38" s="10">
        <v>3.1399999999999997</v>
      </c>
      <c r="C38" s="10">
        <f t="shared" si="1"/>
        <v>9.8595999999999986</v>
      </c>
      <c r="D38" s="10">
        <v>7.67</v>
      </c>
      <c r="F38" s="1">
        <v>20</v>
      </c>
      <c r="G38" s="1">
        <f t="shared" si="3"/>
        <v>400</v>
      </c>
      <c r="H38" s="10">
        <v>3.45</v>
      </c>
      <c r="I38" s="10">
        <f t="shared" si="4"/>
        <v>11.902500000000002</v>
      </c>
      <c r="J38" s="1">
        <f t="shared" ref="J38:J50" si="5">O39*4</f>
        <v>4.8</v>
      </c>
      <c r="K38" s="10">
        <f>SUM($J$20:J38)</f>
        <v>17.919999999999998</v>
      </c>
      <c r="L38" s="6">
        <f t="shared" si="2"/>
        <v>5.1942028985507243</v>
      </c>
      <c r="N38" t="s">
        <v>61</v>
      </c>
      <c r="O38" t="s">
        <v>60</v>
      </c>
    </row>
    <row r="39" spans="1:15" x14ac:dyDescent="0.25">
      <c r="A39" s="4">
        <v>20</v>
      </c>
      <c r="B39" s="1">
        <v>3.25</v>
      </c>
      <c r="C39" s="10">
        <f t="shared" si="1"/>
        <v>10.5625</v>
      </c>
      <c r="D39" s="1">
        <v>8.2200000000000006</v>
      </c>
      <c r="F39" s="1">
        <v>24</v>
      </c>
      <c r="G39" s="1">
        <f t="shared" si="3"/>
        <v>576</v>
      </c>
      <c r="H39" s="1">
        <v>3.66</v>
      </c>
      <c r="I39" s="10">
        <f t="shared" si="4"/>
        <v>13.395600000000002</v>
      </c>
      <c r="J39" s="1">
        <f t="shared" si="5"/>
        <v>5.88</v>
      </c>
      <c r="K39" s="10">
        <f>SUM($J$20:J39)</f>
        <v>23.799999999999997</v>
      </c>
      <c r="L39" s="6">
        <f t="shared" si="2"/>
        <v>6.5027322404371573</v>
      </c>
      <c r="O39">
        <v>1.2</v>
      </c>
    </row>
    <row r="40" spans="1:15" x14ac:dyDescent="0.25">
      <c r="F40" s="1">
        <v>28</v>
      </c>
      <c r="G40" s="1">
        <f t="shared" si="3"/>
        <v>784</v>
      </c>
      <c r="H40" s="10">
        <v>3.7</v>
      </c>
      <c r="I40" s="10">
        <f t="shared" si="4"/>
        <v>13.690000000000001</v>
      </c>
      <c r="J40" s="1">
        <f t="shared" si="5"/>
        <v>5.88</v>
      </c>
      <c r="K40" s="10">
        <f>SUM($J$20:J40)</f>
        <v>29.679999999999996</v>
      </c>
      <c r="L40" s="6">
        <f t="shared" si="2"/>
        <v>8.0216216216216196</v>
      </c>
      <c r="N40">
        <v>0.21</v>
      </c>
      <c r="O40">
        <f t="shared" ref="O40:O51" si="6">N40*7</f>
        <v>1.47</v>
      </c>
    </row>
    <row r="41" spans="1:15" x14ac:dyDescent="0.25">
      <c r="F41" s="1">
        <v>32</v>
      </c>
      <c r="G41" s="1">
        <f t="shared" si="3"/>
        <v>1024</v>
      </c>
      <c r="H41" s="1">
        <v>3.7</v>
      </c>
      <c r="I41" s="10">
        <f t="shared" si="4"/>
        <v>13.690000000000001</v>
      </c>
      <c r="J41" s="1">
        <f t="shared" si="5"/>
        <v>5.88</v>
      </c>
      <c r="K41" s="10">
        <f>SUM($J$20:J41)</f>
        <v>35.559999999999995</v>
      </c>
      <c r="L41" s="6">
        <f t="shared" si="2"/>
        <v>9.6108108108108095</v>
      </c>
      <c r="N41">
        <v>0.21</v>
      </c>
      <c r="O41">
        <f t="shared" si="6"/>
        <v>1.47</v>
      </c>
    </row>
    <row r="42" spans="1:15" x14ac:dyDescent="0.25">
      <c r="F42" s="1">
        <v>36</v>
      </c>
      <c r="G42" s="1">
        <f t="shared" si="3"/>
        <v>1296</v>
      </c>
      <c r="H42" s="10">
        <v>3.74</v>
      </c>
      <c r="I42" s="10">
        <f t="shared" si="4"/>
        <v>13.987600000000002</v>
      </c>
      <c r="J42" s="1">
        <f t="shared" si="5"/>
        <v>5.6000000000000005</v>
      </c>
      <c r="K42" s="10">
        <f>SUM($J$20:J42)</f>
        <v>41.16</v>
      </c>
      <c r="L42" s="6">
        <f t="shared" si="2"/>
        <v>11.005347593582886</v>
      </c>
      <c r="N42">
        <v>0.21</v>
      </c>
      <c r="O42">
        <f t="shared" si="6"/>
        <v>1.47</v>
      </c>
    </row>
    <row r="43" spans="1:15" x14ac:dyDescent="0.25">
      <c r="F43" s="1">
        <v>40</v>
      </c>
      <c r="G43" s="1">
        <f t="shared" si="3"/>
        <v>1600</v>
      </c>
      <c r="H43" s="1">
        <v>3.8</v>
      </c>
      <c r="I43" s="10">
        <f t="shared" si="4"/>
        <v>14.44</v>
      </c>
      <c r="J43" s="1">
        <f t="shared" si="5"/>
        <v>5.6000000000000005</v>
      </c>
      <c r="K43" s="10">
        <f>SUM($J$20:J43)</f>
        <v>46.76</v>
      </c>
      <c r="L43" s="6">
        <f t="shared" si="2"/>
        <v>12.305263157894737</v>
      </c>
      <c r="N43">
        <v>0.2</v>
      </c>
      <c r="O43">
        <f t="shared" si="6"/>
        <v>1.4000000000000001</v>
      </c>
    </row>
    <row r="44" spans="1:15" x14ac:dyDescent="0.25">
      <c r="F44" s="1">
        <v>44</v>
      </c>
      <c r="G44" s="1">
        <f t="shared" si="3"/>
        <v>1936</v>
      </c>
      <c r="H44" s="10">
        <v>4</v>
      </c>
      <c r="I44" s="10">
        <f t="shared" si="4"/>
        <v>16</v>
      </c>
      <c r="J44" s="1">
        <f t="shared" si="5"/>
        <v>6.16</v>
      </c>
      <c r="K44" s="10">
        <f>SUM($J$20:J44)</f>
        <v>52.92</v>
      </c>
      <c r="L44" s="6">
        <f t="shared" si="2"/>
        <v>13.23</v>
      </c>
      <c r="N44">
        <v>0.2</v>
      </c>
      <c r="O44">
        <f t="shared" si="6"/>
        <v>1.4000000000000001</v>
      </c>
    </row>
    <row r="45" spans="1:15" x14ac:dyDescent="0.25">
      <c r="F45" s="1">
        <v>48</v>
      </c>
      <c r="G45" s="1">
        <f t="shared" si="3"/>
        <v>2304</v>
      </c>
      <c r="H45" s="1">
        <v>4.08</v>
      </c>
      <c r="I45" s="10">
        <f t="shared" si="4"/>
        <v>16.6464</v>
      </c>
      <c r="J45" s="1">
        <f t="shared" si="5"/>
        <v>6.16</v>
      </c>
      <c r="K45" s="10">
        <f>SUM($J$20:J45)</f>
        <v>59.08</v>
      </c>
      <c r="L45" s="6">
        <f t="shared" si="2"/>
        <v>14.480392156862745</v>
      </c>
      <c r="N45">
        <v>0.22</v>
      </c>
      <c r="O45">
        <f t="shared" si="6"/>
        <v>1.54</v>
      </c>
    </row>
    <row r="46" spans="1:15" x14ac:dyDescent="0.25">
      <c r="F46" s="1">
        <v>52</v>
      </c>
      <c r="G46" s="1">
        <f t="shared" si="3"/>
        <v>2704</v>
      </c>
      <c r="H46" s="10">
        <v>4.12</v>
      </c>
      <c r="I46" s="10">
        <f t="shared" si="4"/>
        <v>16.974399999999999</v>
      </c>
      <c r="J46" s="1">
        <f t="shared" si="5"/>
        <v>6.44</v>
      </c>
      <c r="K46" s="10">
        <f>SUM($J$20:J46)</f>
        <v>65.52</v>
      </c>
      <c r="L46" s="6">
        <f t="shared" si="2"/>
        <v>15.902912621359222</v>
      </c>
      <c r="N46">
        <v>0.22</v>
      </c>
      <c r="O46">
        <f t="shared" si="6"/>
        <v>1.54</v>
      </c>
    </row>
    <row r="47" spans="1:15" x14ac:dyDescent="0.25">
      <c r="F47" s="1">
        <v>56</v>
      </c>
      <c r="G47" s="1">
        <f t="shared" si="3"/>
        <v>3136</v>
      </c>
      <c r="H47" s="1">
        <v>4.17</v>
      </c>
      <c r="I47" s="10">
        <f t="shared" si="4"/>
        <v>17.3889</v>
      </c>
      <c r="J47" s="1">
        <f t="shared" si="5"/>
        <v>6.72</v>
      </c>
      <c r="K47" s="10">
        <f>SUM($J$20:J47)</f>
        <v>72.239999999999995</v>
      </c>
      <c r="L47" s="6">
        <f t="shared" si="2"/>
        <v>17.323741007194243</v>
      </c>
      <c r="N47">
        <v>0.23</v>
      </c>
      <c r="O47">
        <f t="shared" si="6"/>
        <v>1.61</v>
      </c>
    </row>
    <row r="48" spans="1:15" x14ac:dyDescent="0.25">
      <c r="F48" s="1">
        <v>60</v>
      </c>
      <c r="G48" s="1">
        <f t="shared" si="3"/>
        <v>3600</v>
      </c>
      <c r="H48" s="10">
        <v>4.16</v>
      </c>
      <c r="I48" s="10">
        <f t="shared" si="4"/>
        <v>17.305600000000002</v>
      </c>
      <c r="J48" s="1">
        <f t="shared" si="5"/>
        <v>7.28</v>
      </c>
      <c r="K48" s="10">
        <f>SUM($J$20:J48)</f>
        <v>79.52</v>
      </c>
      <c r="L48" s="6">
        <f t="shared" si="2"/>
        <v>19.115384615384613</v>
      </c>
      <c r="N48">
        <v>0.24</v>
      </c>
      <c r="O48">
        <f t="shared" si="6"/>
        <v>1.68</v>
      </c>
    </row>
    <row r="49" spans="6:15" x14ac:dyDescent="0.25">
      <c r="F49" s="1">
        <v>64</v>
      </c>
      <c r="G49" s="1">
        <f t="shared" si="3"/>
        <v>4096</v>
      </c>
      <c r="H49" s="1">
        <v>4.16</v>
      </c>
      <c r="I49" s="10">
        <f t="shared" si="4"/>
        <v>17.305600000000002</v>
      </c>
      <c r="J49" s="1">
        <f t="shared" si="5"/>
        <v>7.5600000000000005</v>
      </c>
      <c r="K49" s="10">
        <f>SUM($J$20:J49)</f>
        <v>87.08</v>
      </c>
      <c r="L49" s="6">
        <f t="shared" si="2"/>
        <v>20.932692307692307</v>
      </c>
      <c r="N49">
        <v>0.26</v>
      </c>
      <c r="O49">
        <f t="shared" si="6"/>
        <v>1.82</v>
      </c>
    </row>
    <row r="50" spans="6:15" x14ac:dyDescent="0.25">
      <c r="F50" s="1">
        <v>68</v>
      </c>
      <c r="G50" s="1">
        <f t="shared" si="3"/>
        <v>4624</v>
      </c>
      <c r="H50" s="10">
        <v>4.16</v>
      </c>
      <c r="I50" s="10">
        <f t="shared" si="4"/>
        <v>17.305600000000002</v>
      </c>
      <c r="J50" s="1">
        <f t="shared" si="5"/>
        <v>7.8400000000000007</v>
      </c>
      <c r="K50" s="10">
        <f>SUM($J$20:J50)</f>
        <v>94.92</v>
      </c>
      <c r="L50" s="6">
        <f t="shared" si="2"/>
        <v>22.817307692307693</v>
      </c>
      <c r="N50">
        <v>0.27</v>
      </c>
      <c r="O50">
        <f t="shared" si="6"/>
        <v>1.8900000000000001</v>
      </c>
    </row>
    <row r="51" spans="6:15" x14ac:dyDescent="0.25">
      <c r="H51" s="1"/>
      <c r="I51" s="1"/>
      <c r="N51">
        <v>0.28000000000000003</v>
      </c>
      <c r="O51">
        <f t="shared" si="6"/>
        <v>1.9600000000000002</v>
      </c>
    </row>
  </sheetData>
  <sortState xmlns:xlrd2="http://schemas.microsoft.com/office/spreadsheetml/2017/richdata2" ref="A18:C38">
    <sortCondition ref="A5"/>
  </sortState>
  <mergeCells count="1">
    <mergeCell ref="A3:D3"/>
  </mergeCells>
  <pageMargins left="0.7" right="0.7" top="0.75" bottom="0.75" header="0.3" footer="0.3"/>
  <ignoredErrors>
    <ignoredError sqref="K21:K22 K23:K26 K27:K3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Q98"/>
  <sheetViews>
    <sheetView workbookViewId="0">
      <selection activeCell="I29" sqref="I29"/>
    </sheetView>
  </sheetViews>
  <sheetFormatPr defaultRowHeight="15" x14ac:dyDescent="0.25"/>
  <cols>
    <col min="2" max="2" width="15.28515625" customWidth="1"/>
    <col min="3" max="3" width="12.42578125" customWidth="1"/>
    <col min="4" max="4" width="14.7109375" customWidth="1"/>
    <col min="5" max="5" width="17.42578125" customWidth="1"/>
    <col min="6" max="6" width="12" customWidth="1"/>
    <col min="7" max="7" width="8.5703125" customWidth="1"/>
    <col min="8" max="8" width="11.5703125" customWidth="1"/>
    <col min="9" max="9" width="12.42578125" customWidth="1"/>
    <col min="10" max="10" width="14.28515625" customWidth="1"/>
    <col min="11" max="11" width="12.42578125" customWidth="1"/>
    <col min="12" max="12" width="15.7109375" customWidth="1"/>
    <col min="13" max="13" width="14" customWidth="1"/>
    <col min="14" max="14" width="11.5703125" bestFit="1" customWidth="1"/>
    <col min="15" max="15" width="11.85546875" customWidth="1"/>
    <col min="16" max="16" width="14" customWidth="1"/>
  </cols>
  <sheetData>
    <row r="1" spans="1:13" x14ac:dyDescent="0.25">
      <c r="A1" s="15"/>
      <c r="C1" s="15"/>
      <c r="D1" s="15"/>
      <c r="E1" s="15"/>
      <c r="F1" s="15"/>
      <c r="G1" s="15"/>
      <c r="H1" s="15"/>
      <c r="I1" s="15"/>
      <c r="J1" s="15"/>
      <c r="K1" s="15"/>
      <c r="L1" s="15"/>
      <c r="M1" s="15"/>
    </row>
    <row r="2" spans="1:13" x14ac:dyDescent="0.25">
      <c r="A2" s="15"/>
      <c r="B2" s="15"/>
      <c r="C2" s="15"/>
      <c r="D2" s="15"/>
      <c r="E2" s="15"/>
      <c r="F2" s="15"/>
      <c r="G2" s="15"/>
      <c r="H2" s="15"/>
      <c r="I2" s="15"/>
      <c r="J2" s="15"/>
      <c r="K2" s="15"/>
      <c r="L2" s="15"/>
      <c r="M2" s="15"/>
    </row>
    <row r="3" spans="1:13" x14ac:dyDescent="0.25">
      <c r="A3" s="15"/>
      <c r="B3" s="16" t="s">
        <v>184</v>
      </c>
      <c r="C3" s="15"/>
      <c r="D3" s="15"/>
      <c r="E3" s="15"/>
      <c r="F3" s="15"/>
      <c r="G3" s="17"/>
      <c r="H3" s="15"/>
      <c r="I3" s="15"/>
      <c r="J3" s="15"/>
      <c r="K3" s="15"/>
      <c r="L3" s="15"/>
      <c r="M3" s="15"/>
    </row>
    <row r="4" spans="1:13" ht="38.25" x14ac:dyDescent="0.25">
      <c r="A4" s="15"/>
      <c r="B4" s="23" t="s">
        <v>169</v>
      </c>
      <c r="C4" s="23" t="s">
        <v>170</v>
      </c>
      <c r="D4" s="23" t="s">
        <v>171</v>
      </c>
      <c r="E4" s="18"/>
      <c r="F4" s="18"/>
      <c r="G4" s="18"/>
      <c r="H4" s="23" t="s">
        <v>169</v>
      </c>
      <c r="I4" s="23" t="s">
        <v>181</v>
      </c>
      <c r="J4" s="23" t="s">
        <v>182</v>
      </c>
      <c r="K4" s="23" t="s">
        <v>185</v>
      </c>
      <c r="L4" s="18"/>
      <c r="M4" s="18"/>
    </row>
    <row r="5" spans="1:13" x14ac:dyDescent="0.25">
      <c r="A5" s="15"/>
      <c r="B5" s="24">
        <v>1</v>
      </c>
      <c r="C5" s="24">
        <v>70</v>
      </c>
      <c r="D5" s="24">
        <v>13</v>
      </c>
      <c r="E5" s="15"/>
      <c r="F5" s="15" t="s">
        <v>180</v>
      </c>
      <c r="G5" s="15"/>
      <c r="H5" s="24">
        <v>1</v>
      </c>
      <c r="I5" s="25">
        <f t="shared" ref="I5:I13" si="0">C5*$F$6</f>
        <v>0.1543234</v>
      </c>
      <c r="J5" s="25">
        <f t="shared" ref="J5:J13" si="1">D5*$F$6</f>
        <v>2.8660060000000001E-2</v>
      </c>
      <c r="K5" s="26">
        <f>J5*7</f>
        <v>0.20062042000000002</v>
      </c>
      <c r="L5" s="15"/>
      <c r="M5" s="15"/>
    </row>
    <row r="6" spans="1:13" x14ac:dyDescent="0.25">
      <c r="A6" s="15"/>
      <c r="B6" s="24">
        <v>2</v>
      </c>
      <c r="C6" s="24">
        <v>115</v>
      </c>
      <c r="D6" s="24">
        <v>20</v>
      </c>
      <c r="E6" s="15"/>
      <c r="F6" s="19">
        <v>2.20462E-3</v>
      </c>
      <c r="G6" s="15"/>
      <c r="H6" s="24">
        <v>2</v>
      </c>
      <c r="I6" s="25">
        <f t="shared" si="0"/>
        <v>0.25353130000000001</v>
      </c>
      <c r="J6" s="25">
        <f t="shared" si="1"/>
        <v>4.4092400000000004E-2</v>
      </c>
      <c r="K6" s="26">
        <f t="shared" ref="K6:K21" si="2">J6*7</f>
        <v>0.3086468</v>
      </c>
      <c r="L6" s="15"/>
      <c r="M6" s="15"/>
    </row>
    <row r="7" spans="1:13" x14ac:dyDescent="0.25">
      <c r="A7" s="15"/>
      <c r="B7" s="24">
        <v>3</v>
      </c>
      <c r="C7" s="24">
        <v>190</v>
      </c>
      <c r="D7" s="24">
        <v>25</v>
      </c>
      <c r="E7" s="15"/>
      <c r="F7" s="15"/>
      <c r="G7" s="15"/>
      <c r="H7" s="24">
        <v>3</v>
      </c>
      <c r="I7" s="25">
        <f t="shared" si="0"/>
        <v>0.41887780000000002</v>
      </c>
      <c r="J7" s="25">
        <f t="shared" si="1"/>
        <v>5.5115499999999998E-2</v>
      </c>
      <c r="K7" s="26">
        <f t="shared" si="2"/>
        <v>0.3858085</v>
      </c>
      <c r="L7" s="15"/>
      <c r="M7" s="15"/>
    </row>
    <row r="8" spans="1:13" x14ac:dyDescent="0.25">
      <c r="A8" s="15"/>
      <c r="B8" s="24">
        <v>4</v>
      </c>
      <c r="C8" s="24">
        <v>280</v>
      </c>
      <c r="D8" s="24">
        <v>29</v>
      </c>
      <c r="E8" s="15"/>
      <c r="F8" s="15"/>
      <c r="G8" s="15"/>
      <c r="H8" s="24">
        <v>4</v>
      </c>
      <c r="I8" s="25">
        <f t="shared" si="0"/>
        <v>0.6172936</v>
      </c>
      <c r="J8" s="25">
        <f t="shared" si="1"/>
        <v>6.3933980000000001E-2</v>
      </c>
      <c r="K8" s="26">
        <f t="shared" si="2"/>
        <v>0.44753786000000001</v>
      </c>
      <c r="L8" s="15"/>
      <c r="M8" s="15"/>
    </row>
    <row r="9" spans="1:13" x14ac:dyDescent="0.25">
      <c r="A9" s="15"/>
      <c r="B9" s="24">
        <v>5</v>
      </c>
      <c r="C9" s="24">
        <v>385</v>
      </c>
      <c r="D9" s="24">
        <v>33</v>
      </c>
      <c r="E9" s="15"/>
      <c r="F9" s="15"/>
      <c r="G9" s="15"/>
      <c r="H9" s="24">
        <v>5</v>
      </c>
      <c r="I9" s="25">
        <f t="shared" si="0"/>
        <v>0.8487787</v>
      </c>
      <c r="J9" s="25">
        <f t="shared" si="1"/>
        <v>7.2752460000000005E-2</v>
      </c>
      <c r="K9" s="26">
        <f t="shared" si="2"/>
        <v>0.50926722000000002</v>
      </c>
      <c r="L9" s="15"/>
      <c r="M9" s="15"/>
    </row>
    <row r="10" spans="1:13" x14ac:dyDescent="0.25">
      <c r="A10" s="15"/>
      <c r="B10" s="24">
        <v>6</v>
      </c>
      <c r="C10" s="24">
        <v>490</v>
      </c>
      <c r="D10" s="24">
        <v>37</v>
      </c>
      <c r="E10" s="15"/>
      <c r="F10" s="15"/>
      <c r="G10" s="15"/>
      <c r="H10" s="24">
        <v>6</v>
      </c>
      <c r="I10" s="25">
        <f t="shared" si="0"/>
        <v>1.0802638</v>
      </c>
      <c r="J10" s="25">
        <f t="shared" si="1"/>
        <v>8.1570939999999995E-2</v>
      </c>
      <c r="K10" s="26">
        <f t="shared" si="2"/>
        <v>0.57099657999999998</v>
      </c>
      <c r="L10" s="15"/>
      <c r="M10" s="15"/>
    </row>
    <row r="11" spans="1:13" x14ac:dyDescent="0.25">
      <c r="A11" s="15"/>
      <c r="B11" s="24">
        <v>7</v>
      </c>
      <c r="C11" s="24">
        <v>600</v>
      </c>
      <c r="D11" s="24">
        <v>41</v>
      </c>
      <c r="E11" s="15"/>
      <c r="F11" s="15"/>
      <c r="G11" s="15"/>
      <c r="H11" s="24">
        <v>7</v>
      </c>
      <c r="I11" s="25">
        <f t="shared" si="0"/>
        <v>1.3227720000000001</v>
      </c>
      <c r="J11" s="25">
        <f t="shared" si="1"/>
        <v>9.0389419999999998E-2</v>
      </c>
      <c r="K11" s="26">
        <f t="shared" si="2"/>
        <v>0.63272594000000004</v>
      </c>
      <c r="L11" s="15"/>
      <c r="M11" s="15"/>
    </row>
    <row r="12" spans="1:13" x14ac:dyDescent="0.25">
      <c r="A12" s="15"/>
      <c r="B12" s="24">
        <v>8</v>
      </c>
      <c r="C12" s="24">
        <v>710</v>
      </c>
      <c r="D12" s="24">
        <v>46</v>
      </c>
      <c r="E12" s="15"/>
      <c r="F12" s="15"/>
      <c r="G12" s="15"/>
      <c r="H12" s="24">
        <v>8</v>
      </c>
      <c r="I12" s="25">
        <f t="shared" si="0"/>
        <v>1.5652802000000001</v>
      </c>
      <c r="J12" s="25">
        <f t="shared" si="1"/>
        <v>0.10141252000000001</v>
      </c>
      <c r="K12" s="26">
        <f t="shared" si="2"/>
        <v>0.70988764000000004</v>
      </c>
      <c r="L12" s="15"/>
      <c r="M12" s="15"/>
    </row>
    <row r="13" spans="1:13" x14ac:dyDescent="0.25">
      <c r="A13" s="15"/>
      <c r="B13" s="24">
        <v>9</v>
      </c>
      <c r="C13" s="24">
        <v>810</v>
      </c>
      <c r="D13" s="24">
        <v>51</v>
      </c>
      <c r="E13" s="20"/>
      <c r="F13" s="20"/>
      <c r="G13" s="15"/>
      <c r="H13" s="24">
        <v>9</v>
      </c>
      <c r="I13" s="25">
        <f t="shared" si="0"/>
        <v>1.7857422000000001</v>
      </c>
      <c r="J13" s="25">
        <f t="shared" si="1"/>
        <v>0.11243562</v>
      </c>
      <c r="K13" s="26">
        <f t="shared" si="2"/>
        <v>0.78704934000000004</v>
      </c>
      <c r="L13" s="20"/>
      <c r="M13" s="15"/>
    </row>
    <row r="14" spans="1:13" x14ac:dyDescent="0.25">
      <c r="A14" s="15"/>
      <c r="B14" s="24">
        <v>10</v>
      </c>
      <c r="C14" s="24" t="s">
        <v>172</v>
      </c>
      <c r="D14" s="24">
        <v>56</v>
      </c>
      <c r="E14" s="20"/>
      <c r="F14" s="20"/>
      <c r="G14" s="15"/>
      <c r="H14" s="24">
        <v>10</v>
      </c>
      <c r="I14" s="25">
        <f t="shared" ref="I14:I21" si="3">AVERAGE(O68:P68)</f>
        <v>2.0282504000000001</v>
      </c>
      <c r="J14" s="25">
        <f t="shared" ref="J14:J21" si="4">D14*$F$6</f>
        <v>0.12345871999999999</v>
      </c>
      <c r="K14" s="26">
        <f t="shared" si="2"/>
        <v>0.86421103999999993</v>
      </c>
      <c r="L14" s="20"/>
      <c r="M14" s="15"/>
    </row>
    <row r="15" spans="1:13" x14ac:dyDescent="0.25">
      <c r="A15" s="15"/>
      <c r="B15" s="24">
        <v>11</v>
      </c>
      <c r="C15" s="24" t="s">
        <v>173</v>
      </c>
      <c r="D15" s="24">
        <v>61</v>
      </c>
      <c r="E15" s="20"/>
      <c r="F15" s="20"/>
      <c r="G15" s="15"/>
      <c r="H15" s="24">
        <v>11</v>
      </c>
      <c r="I15" s="25">
        <f t="shared" si="3"/>
        <v>2.2487124000000001</v>
      </c>
      <c r="J15" s="25">
        <f t="shared" si="4"/>
        <v>0.13448182</v>
      </c>
      <c r="K15" s="26">
        <f t="shared" si="2"/>
        <v>0.94137274000000004</v>
      </c>
      <c r="L15" s="20"/>
      <c r="M15" s="15"/>
    </row>
    <row r="16" spans="1:13" x14ac:dyDescent="0.25">
      <c r="A16" s="15"/>
      <c r="B16" s="24">
        <v>12</v>
      </c>
      <c r="C16" s="24" t="s">
        <v>174</v>
      </c>
      <c r="D16" s="24">
        <v>66</v>
      </c>
      <c r="E16" s="20"/>
      <c r="F16" s="20"/>
      <c r="G16" s="15"/>
      <c r="H16" s="24">
        <v>12</v>
      </c>
      <c r="I16" s="25">
        <f t="shared" si="3"/>
        <v>2.3887057700000001</v>
      </c>
      <c r="J16" s="25">
        <f t="shared" si="4"/>
        <v>0.14550492000000001</v>
      </c>
      <c r="K16" s="26">
        <f t="shared" si="2"/>
        <v>1.01853444</v>
      </c>
      <c r="L16" s="20"/>
      <c r="M16" s="15"/>
    </row>
    <row r="17" spans="1:15" x14ac:dyDescent="0.25">
      <c r="A17" s="15"/>
      <c r="B17" s="24">
        <v>13</v>
      </c>
      <c r="C17" s="24" t="s">
        <v>175</v>
      </c>
      <c r="D17" s="24">
        <v>70</v>
      </c>
      <c r="E17" s="20"/>
      <c r="F17" s="20"/>
      <c r="G17" s="15"/>
      <c r="H17" s="24">
        <v>13</v>
      </c>
      <c r="I17" s="25">
        <f t="shared" si="3"/>
        <v>2.6234978</v>
      </c>
      <c r="J17" s="25">
        <f t="shared" si="4"/>
        <v>0.1543234</v>
      </c>
      <c r="K17" s="26">
        <f t="shared" si="2"/>
        <v>1.0802638</v>
      </c>
      <c r="L17" s="20"/>
      <c r="M17" s="15"/>
    </row>
    <row r="18" spans="1:15" x14ac:dyDescent="0.25">
      <c r="A18" s="15"/>
      <c r="B18" s="24">
        <v>14</v>
      </c>
      <c r="C18" s="24" t="s">
        <v>176</v>
      </c>
      <c r="D18" s="24">
        <v>73</v>
      </c>
      <c r="E18" s="20"/>
      <c r="F18" s="20"/>
      <c r="G18" s="15"/>
      <c r="H18" s="24">
        <v>14</v>
      </c>
      <c r="I18" s="25">
        <f t="shared" si="3"/>
        <v>2.7778212</v>
      </c>
      <c r="J18" s="25">
        <f t="shared" si="4"/>
        <v>0.16093726</v>
      </c>
      <c r="K18" s="26">
        <f t="shared" si="2"/>
        <v>1.1265608199999999</v>
      </c>
      <c r="L18" s="20"/>
      <c r="M18" s="15"/>
    </row>
    <row r="19" spans="1:15" x14ac:dyDescent="0.25">
      <c r="A19" s="15"/>
      <c r="B19" s="24">
        <v>15</v>
      </c>
      <c r="C19" s="24" t="s">
        <v>177</v>
      </c>
      <c r="D19" s="24">
        <v>75</v>
      </c>
      <c r="E19" s="20"/>
      <c r="F19" s="20"/>
      <c r="G19" s="15"/>
      <c r="H19" s="24">
        <v>15</v>
      </c>
      <c r="I19" s="25">
        <f t="shared" si="3"/>
        <v>2.9321446</v>
      </c>
      <c r="J19" s="25">
        <f t="shared" si="4"/>
        <v>0.16534650000000001</v>
      </c>
      <c r="K19" s="26">
        <f t="shared" si="2"/>
        <v>1.1574255</v>
      </c>
      <c r="L19" s="20"/>
      <c r="M19" s="15"/>
    </row>
    <row r="20" spans="1:15" x14ac:dyDescent="0.25">
      <c r="A20" s="15"/>
      <c r="B20" s="24">
        <v>16</v>
      </c>
      <c r="C20" s="24" t="s">
        <v>178</v>
      </c>
      <c r="D20" s="24">
        <v>77</v>
      </c>
      <c r="E20" s="20"/>
      <c r="F20" s="20"/>
      <c r="G20" s="15"/>
      <c r="H20" s="24">
        <v>16</v>
      </c>
      <c r="I20" s="25">
        <f t="shared" si="3"/>
        <v>3.0754448999999999</v>
      </c>
      <c r="J20" s="25">
        <f t="shared" si="4"/>
        <v>0.16975573999999999</v>
      </c>
      <c r="K20" s="26">
        <f t="shared" si="2"/>
        <v>1.1882901799999999</v>
      </c>
      <c r="L20" s="20"/>
      <c r="M20" s="15"/>
    </row>
    <row r="21" spans="1:15" x14ac:dyDescent="0.25">
      <c r="A21" s="15"/>
      <c r="B21" s="24">
        <v>17</v>
      </c>
      <c r="C21" s="24" t="s">
        <v>179</v>
      </c>
      <c r="D21" s="24">
        <v>80</v>
      </c>
      <c r="E21" s="20"/>
      <c r="F21" s="20"/>
      <c r="G21" s="15"/>
      <c r="H21" s="24">
        <v>17</v>
      </c>
      <c r="I21" s="25">
        <f t="shared" si="3"/>
        <v>3.3510223999999997</v>
      </c>
      <c r="J21" s="25">
        <f t="shared" si="4"/>
        <v>0.17636960000000002</v>
      </c>
      <c r="K21" s="26">
        <f t="shared" si="2"/>
        <v>1.2345872</v>
      </c>
      <c r="L21" s="20"/>
      <c r="M21" s="15"/>
    </row>
    <row r="22" spans="1:15" ht="15.75" thickBot="1" x14ac:dyDescent="0.3">
      <c r="A22" s="15"/>
      <c r="B22" s="20"/>
      <c r="C22" s="20"/>
      <c r="D22" s="20"/>
      <c r="E22" s="20"/>
      <c r="F22" s="20"/>
      <c r="G22" s="15"/>
      <c r="H22" s="20"/>
      <c r="I22" s="21"/>
      <c r="J22" s="21"/>
      <c r="K22" s="21"/>
      <c r="L22" s="20"/>
      <c r="M22" s="15"/>
    </row>
    <row r="23" spans="1:15" ht="15.75" thickBot="1" x14ac:dyDescent="0.3">
      <c r="A23" s="15"/>
      <c r="B23" s="30" t="s">
        <v>183</v>
      </c>
      <c r="C23" s="32"/>
      <c r="D23" s="32"/>
      <c r="E23" s="32"/>
      <c r="F23" s="32"/>
      <c r="G23" s="30"/>
      <c r="H23" s="32"/>
      <c r="I23" s="33"/>
      <c r="J23" s="21"/>
      <c r="K23" s="39">
        <f>SUM(K5:K21)</f>
        <v>13.16378602</v>
      </c>
      <c r="L23" s="22" t="s">
        <v>186</v>
      </c>
      <c r="M23" s="15"/>
    </row>
    <row r="24" spans="1:15" x14ac:dyDescent="0.25">
      <c r="A24" s="15"/>
      <c r="B24" s="20"/>
      <c r="C24" s="20"/>
      <c r="D24" s="20"/>
      <c r="E24" s="20"/>
      <c r="F24" s="20"/>
      <c r="G24" s="15"/>
      <c r="H24" s="15"/>
      <c r="I24" s="15"/>
      <c r="J24" s="15"/>
      <c r="K24" s="20"/>
      <c r="L24" s="21"/>
      <c r="M24" s="21"/>
      <c r="N24" s="12"/>
      <c r="O24" s="12"/>
    </row>
    <row r="25" spans="1:15" x14ac:dyDescent="0.25">
      <c r="B25" s="12"/>
      <c r="C25" s="12"/>
      <c r="D25" s="12"/>
      <c r="E25" s="12"/>
      <c r="F25" s="12"/>
      <c r="K25" s="12"/>
      <c r="L25" s="14"/>
      <c r="M25" s="14"/>
      <c r="N25" s="12"/>
      <c r="O25" s="12"/>
    </row>
    <row r="26" spans="1:15" x14ac:dyDescent="0.25">
      <c r="B26" s="28">
        <f>144/7</f>
        <v>20.571428571428573</v>
      </c>
      <c r="C26" t="s">
        <v>187</v>
      </c>
      <c r="F26" s="12"/>
      <c r="K26" s="12"/>
      <c r="L26" s="14"/>
      <c r="M26" s="14"/>
      <c r="N26" s="12"/>
      <c r="O26" s="12"/>
    </row>
    <row r="27" spans="1:15" x14ac:dyDescent="0.25">
      <c r="B27" s="29">
        <v>0.24</v>
      </c>
      <c r="C27" t="s">
        <v>188</v>
      </c>
      <c r="E27" t="s">
        <v>223</v>
      </c>
      <c r="F27" s="12"/>
      <c r="K27" s="12"/>
      <c r="L27" s="14"/>
      <c r="M27" s="14"/>
      <c r="N27" s="12"/>
      <c r="O27" s="12"/>
    </row>
    <row r="29" spans="1:15" x14ac:dyDescent="0.25">
      <c r="B29" s="31" t="s">
        <v>168</v>
      </c>
      <c r="C29" s="31"/>
      <c r="D29" s="31"/>
    </row>
    <row r="32" spans="1:15" x14ac:dyDescent="0.25">
      <c r="B32" s="1"/>
      <c r="C32" s="3" t="s">
        <v>194</v>
      </c>
      <c r="D32" s="1"/>
      <c r="E32" s="1"/>
      <c r="F32" s="1"/>
      <c r="G32" s="1"/>
      <c r="H32" s="3" t="s">
        <v>193</v>
      </c>
      <c r="I32" s="1"/>
      <c r="J32" s="1"/>
    </row>
    <row r="33" spans="2:17" ht="31.5" customHeight="1" x14ac:dyDescent="0.25">
      <c r="B33" s="4" t="s">
        <v>189</v>
      </c>
      <c r="C33" s="34" t="s">
        <v>190</v>
      </c>
      <c r="D33" s="4" t="s">
        <v>191</v>
      </c>
      <c r="E33" s="34" t="s">
        <v>192</v>
      </c>
      <c r="F33" s="4"/>
      <c r="G33" s="4" t="s">
        <v>189</v>
      </c>
      <c r="H33" s="34" t="s">
        <v>190</v>
      </c>
      <c r="I33" s="4" t="s">
        <v>191</v>
      </c>
      <c r="J33" s="34" t="s">
        <v>192</v>
      </c>
    </row>
    <row r="34" spans="2:17" x14ac:dyDescent="0.25">
      <c r="B34" s="1">
        <v>0</v>
      </c>
      <c r="C34" s="1">
        <v>0.08</v>
      </c>
      <c r="D34" s="1">
        <v>0.22</v>
      </c>
      <c r="E34" s="1">
        <v>0.22</v>
      </c>
      <c r="F34" s="1"/>
      <c r="G34" s="1">
        <v>0</v>
      </c>
      <c r="H34" s="1">
        <v>0.08</v>
      </c>
      <c r="I34" s="1">
        <v>0.3</v>
      </c>
      <c r="J34" s="1">
        <v>0.3</v>
      </c>
      <c r="L34" s="8" t="s">
        <v>36</v>
      </c>
      <c r="M34" s="9"/>
      <c r="N34" s="7" t="s">
        <v>33</v>
      </c>
      <c r="O34" s="7" t="s">
        <v>34</v>
      </c>
      <c r="P34" s="7" t="s">
        <v>35</v>
      </c>
      <c r="Q34" s="7" t="s">
        <v>51</v>
      </c>
    </row>
    <row r="35" spans="2:17" x14ac:dyDescent="0.25">
      <c r="B35" s="1">
        <v>2</v>
      </c>
      <c r="C35" s="1">
        <v>0.22</v>
      </c>
      <c r="D35" s="1">
        <v>0.62</v>
      </c>
      <c r="E35" s="1">
        <v>0.84</v>
      </c>
      <c r="F35" s="1"/>
      <c r="G35" s="1">
        <v>2</v>
      </c>
      <c r="H35" s="1">
        <v>0.26</v>
      </c>
      <c r="I35" s="1">
        <v>0.7</v>
      </c>
      <c r="J35" s="1">
        <v>1</v>
      </c>
      <c r="L35" s="3" t="s">
        <v>76</v>
      </c>
      <c r="M35" s="11"/>
      <c r="N35" s="4">
        <v>4</v>
      </c>
      <c r="O35" s="4">
        <f>N35*50</f>
        <v>200</v>
      </c>
      <c r="P35" s="1">
        <f>O35/25</f>
        <v>8</v>
      </c>
      <c r="Q35" s="10">
        <f>7/(18*7)</f>
        <v>5.5555555555555552E-2</v>
      </c>
    </row>
    <row r="36" spans="2:17" x14ac:dyDescent="0.25">
      <c r="B36" s="1">
        <v>4</v>
      </c>
      <c r="C36" s="1">
        <v>0.56999999999999995</v>
      </c>
      <c r="D36" s="1">
        <v>1.1399999999999999</v>
      </c>
      <c r="E36" s="1">
        <v>1.98</v>
      </c>
      <c r="F36" s="1"/>
      <c r="G36" s="1">
        <v>4</v>
      </c>
      <c r="H36" s="1">
        <v>0.72</v>
      </c>
      <c r="I36" s="1">
        <v>1.24</v>
      </c>
      <c r="J36" s="1">
        <v>2.2400000000000002</v>
      </c>
      <c r="L36" s="3" t="s">
        <v>54</v>
      </c>
      <c r="M36" s="11"/>
      <c r="N36" s="4">
        <v>4</v>
      </c>
      <c r="O36" s="4">
        <f>N36*50</f>
        <v>200</v>
      </c>
      <c r="P36" s="1">
        <f>O36/25</f>
        <v>8</v>
      </c>
      <c r="Q36" s="10">
        <f>8/(18*7)</f>
        <v>6.3492063492063489E-2</v>
      </c>
    </row>
    <row r="37" spans="2:17" x14ac:dyDescent="0.25">
      <c r="B37" s="1">
        <v>6</v>
      </c>
      <c r="C37" s="1">
        <v>0.99</v>
      </c>
      <c r="D37" s="1">
        <v>1.5</v>
      </c>
      <c r="E37" s="1">
        <v>3.48</v>
      </c>
      <c r="F37" s="1"/>
      <c r="G37" s="1">
        <v>6</v>
      </c>
      <c r="H37" s="1">
        <v>1.1000000000000001</v>
      </c>
      <c r="I37" s="1">
        <v>1.54</v>
      </c>
      <c r="J37" s="1">
        <v>3.78</v>
      </c>
      <c r="L37" s="3" t="s">
        <v>39</v>
      </c>
      <c r="M37" s="11"/>
      <c r="N37" s="4">
        <v>5</v>
      </c>
      <c r="O37" s="4">
        <f>N37*50</f>
        <v>250</v>
      </c>
      <c r="P37" s="1">
        <f>O37/25</f>
        <v>10</v>
      </c>
      <c r="Q37" s="10">
        <f>9/(20*7)</f>
        <v>6.4285714285714279E-2</v>
      </c>
    </row>
    <row r="38" spans="2:17" x14ac:dyDescent="0.25">
      <c r="B38" s="1">
        <v>8</v>
      </c>
      <c r="C38" s="1">
        <v>1.46</v>
      </c>
      <c r="D38" s="1">
        <v>1.58</v>
      </c>
      <c r="E38" s="1">
        <v>5.0599999999999996</v>
      </c>
      <c r="F38" s="1"/>
      <c r="G38" s="1">
        <v>8</v>
      </c>
      <c r="H38" s="1">
        <v>1.65</v>
      </c>
      <c r="I38" s="1">
        <v>1.68</v>
      </c>
      <c r="J38" s="1">
        <v>5.46</v>
      </c>
      <c r="N38" s="4"/>
      <c r="O38" s="4"/>
      <c r="P38" s="1"/>
    </row>
    <row r="39" spans="2:17" x14ac:dyDescent="0.25">
      <c r="B39" s="1">
        <v>10</v>
      </c>
      <c r="C39" s="1">
        <v>1.65</v>
      </c>
      <c r="D39" s="1">
        <v>1.68</v>
      </c>
      <c r="E39" s="1">
        <v>6.74</v>
      </c>
      <c r="F39" s="1"/>
      <c r="G39" s="1">
        <v>10</v>
      </c>
      <c r="H39" s="1">
        <v>1.98</v>
      </c>
      <c r="I39" s="1">
        <v>1.76</v>
      </c>
      <c r="J39" s="1">
        <v>7.22</v>
      </c>
      <c r="L39" s="8" t="s">
        <v>38</v>
      </c>
      <c r="M39" s="9"/>
      <c r="N39" s="7" t="s">
        <v>33</v>
      </c>
      <c r="O39" s="7" t="s">
        <v>34</v>
      </c>
      <c r="P39" s="7" t="s">
        <v>37</v>
      </c>
      <c r="Q39" s="7" t="s">
        <v>51</v>
      </c>
    </row>
    <row r="40" spans="2:17" x14ac:dyDescent="0.25">
      <c r="B40" s="1">
        <v>12</v>
      </c>
      <c r="C40" s="1">
        <v>2.16</v>
      </c>
      <c r="D40" s="1">
        <v>1.76</v>
      </c>
      <c r="E40" s="1">
        <v>8.5</v>
      </c>
      <c r="F40" s="1"/>
      <c r="G40" s="1">
        <v>12</v>
      </c>
      <c r="H40" s="1">
        <v>2.4300000000000002</v>
      </c>
      <c r="I40" s="1">
        <v>1.86</v>
      </c>
      <c r="J40" s="1">
        <v>9.08</v>
      </c>
      <c r="L40" s="3" t="s">
        <v>53</v>
      </c>
      <c r="M40" s="11"/>
      <c r="N40" s="1">
        <v>3.5</v>
      </c>
      <c r="O40" s="1">
        <f>N40*50</f>
        <v>175</v>
      </c>
      <c r="P40" s="1">
        <f>O40/25</f>
        <v>7</v>
      </c>
      <c r="Q40" s="10">
        <f>7/30</f>
        <v>0.23333333333333334</v>
      </c>
    </row>
    <row r="41" spans="2:17" x14ac:dyDescent="0.25">
      <c r="B41" s="1">
        <v>14</v>
      </c>
      <c r="C41" s="1">
        <v>2.4300000000000002</v>
      </c>
      <c r="D41" s="1">
        <v>1.86</v>
      </c>
      <c r="E41" s="1">
        <v>10.36</v>
      </c>
      <c r="F41" s="1"/>
      <c r="G41" s="1">
        <v>14</v>
      </c>
      <c r="H41" s="1">
        <v>2.73</v>
      </c>
      <c r="I41" s="1">
        <v>1.98</v>
      </c>
      <c r="J41" s="1">
        <v>11.06</v>
      </c>
      <c r="L41" s="3" t="s">
        <v>52</v>
      </c>
      <c r="M41" s="11"/>
      <c r="N41" s="1">
        <v>4</v>
      </c>
      <c r="O41" s="1">
        <f>N41*50</f>
        <v>200</v>
      </c>
      <c r="P41" s="1">
        <f>O41/25</f>
        <v>8</v>
      </c>
      <c r="Q41" s="10">
        <f>8/30</f>
        <v>0.26666666666666666</v>
      </c>
    </row>
    <row r="42" spans="2:17" x14ac:dyDescent="0.25">
      <c r="B42" s="1">
        <v>16</v>
      </c>
      <c r="C42" s="1">
        <v>2.69</v>
      </c>
      <c r="D42" s="1">
        <v>1.9</v>
      </c>
      <c r="E42" s="1">
        <v>12.26</v>
      </c>
      <c r="F42" s="1"/>
      <c r="G42" s="1">
        <v>16</v>
      </c>
      <c r="H42" s="1">
        <v>3.04</v>
      </c>
      <c r="I42" s="1">
        <v>2.08</v>
      </c>
      <c r="J42" s="1">
        <v>13.14</v>
      </c>
      <c r="L42" s="3" t="s">
        <v>55</v>
      </c>
      <c r="M42" s="11"/>
      <c r="N42" s="1">
        <v>4.25</v>
      </c>
      <c r="O42" s="1">
        <f>N42*50</f>
        <v>212.5</v>
      </c>
      <c r="P42" s="1">
        <f>O42/25</f>
        <v>8.5</v>
      </c>
      <c r="Q42" s="10">
        <f>8.5/30</f>
        <v>0.28333333333333333</v>
      </c>
    </row>
    <row r="43" spans="2:17" ht="15.75" thickBot="1" x14ac:dyDescent="0.3">
      <c r="B43" s="1">
        <v>18</v>
      </c>
      <c r="C43" s="1">
        <v>3.03</v>
      </c>
      <c r="D43" s="1">
        <v>1.98</v>
      </c>
      <c r="E43" s="1">
        <v>14.24</v>
      </c>
      <c r="F43" s="1"/>
      <c r="G43" s="1">
        <v>18</v>
      </c>
      <c r="H43" s="1">
        <v>3.31</v>
      </c>
      <c r="I43" s="1">
        <v>2.2000000000000002</v>
      </c>
      <c r="J43" s="1">
        <v>15.34</v>
      </c>
    </row>
    <row r="44" spans="2:17" ht="15.75" thickBot="1" x14ac:dyDescent="0.3">
      <c r="B44" s="1">
        <v>20</v>
      </c>
      <c r="C44" s="1">
        <v>3.25</v>
      </c>
      <c r="D44" s="1">
        <v>2.2000000000000002</v>
      </c>
      <c r="E44" s="35">
        <v>16.440000000000001</v>
      </c>
      <c r="F44" s="1"/>
      <c r="G44" s="1">
        <v>20</v>
      </c>
      <c r="H44" s="1">
        <v>3.53</v>
      </c>
      <c r="I44" s="1">
        <v>2.42</v>
      </c>
      <c r="J44" s="35">
        <v>17.760000000000002</v>
      </c>
    </row>
    <row r="46" spans="2:17" x14ac:dyDescent="0.25">
      <c r="B46" s="40" t="s">
        <v>108</v>
      </c>
      <c r="C46" s="31"/>
      <c r="D46" s="31"/>
      <c r="E46" s="31"/>
    </row>
    <row r="49" spans="2:12" x14ac:dyDescent="0.25">
      <c r="B49">
        <v>0.25</v>
      </c>
      <c r="C49" t="s">
        <v>195</v>
      </c>
      <c r="E49">
        <f>0.25*7</f>
        <v>1.75</v>
      </c>
      <c r="F49" t="s">
        <v>57</v>
      </c>
    </row>
    <row r="50" spans="2:12" x14ac:dyDescent="0.25">
      <c r="B50">
        <v>0.3</v>
      </c>
      <c r="C50" t="s">
        <v>61</v>
      </c>
      <c r="E50">
        <f>0.25*31</f>
        <v>7.75</v>
      </c>
      <c r="F50" t="s">
        <v>197</v>
      </c>
    </row>
    <row r="51" spans="2:12" x14ac:dyDescent="0.25">
      <c r="B51">
        <v>1.5</v>
      </c>
      <c r="C51" t="s">
        <v>60</v>
      </c>
    </row>
    <row r="52" spans="2:12" x14ac:dyDescent="0.25">
      <c r="E52">
        <f>0.25*365</f>
        <v>91.25</v>
      </c>
      <c r="F52" t="s">
        <v>196</v>
      </c>
    </row>
    <row r="53" spans="2:12" x14ac:dyDescent="0.25">
      <c r="E53" s="27">
        <f>E52/12</f>
        <v>7.604166666666667</v>
      </c>
      <c r="F53" t="s">
        <v>197</v>
      </c>
    </row>
    <row r="55" spans="2:12" x14ac:dyDescent="0.25">
      <c r="B55" s="31" t="s">
        <v>198</v>
      </c>
      <c r="C55" s="31"/>
      <c r="D55" s="31"/>
      <c r="E55" s="31"/>
      <c r="F55" s="31"/>
    </row>
    <row r="58" spans="2:12" ht="38.25" x14ac:dyDescent="0.25">
      <c r="B58" s="37" t="s">
        <v>200</v>
      </c>
      <c r="C58" s="37" t="s">
        <v>201</v>
      </c>
      <c r="D58" s="37" t="s">
        <v>202</v>
      </c>
      <c r="E58" s="37" t="s">
        <v>203</v>
      </c>
    </row>
    <row r="59" spans="2:12" x14ac:dyDescent="0.25">
      <c r="B59" s="38" t="s">
        <v>204</v>
      </c>
      <c r="C59" s="36" t="s">
        <v>205</v>
      </c>
      <c r="D59" s="36" t="s">
        <v>206</v>
      </c>
      <c r="E59" s="36" t="s">
        <v>207</v>
      </c>
      <c r="G59">
        <v>24.5</v>
      </c>
      <c r="H59">
        <f>G59/10</f>
        <v>2.4500000000000002</v>
      </c>
      <c r="I59" s="27">
        <f>G59/(10*6)</f>
        <v>0.40833333333333333</v>
      </c>
      <c r="J59" t="s">
        <v>218</v>
      </c>
      <c r="K59" s="13">
        <f>I59/7</f>
        <v>5.8333333333333334E-2</v>
      </c>
      <c r="L59" t="s">
        <v>219</v>
      </c>
    </row>
    <row r="60" spans="2:12" x14ac:dyDescent="0.25">
      <c r="B60" s="38" t="s">
        <v>208</v>
      </c>
      <c r="C60" s="36" t="s">
        <v>209</v>
      </c>
      <c r="D60" s="36" t="s">
        <v>210</v>
      </c>
      <c r="E60" s="36" t="s">
        <v>211</v>
      </c>
      <c r="G60">
        <v>125</v>
      </c>
      <c r="H60">
        <f>G60/10</f>
        <v>12.5</v>
      </c>
      <c r="I60" s="27">
        <f>G60/(10*6)</f>
        <v>2.0833333333333335</v>
      </c>
      <c r="K60" s="13">
        <f>I60/7</f>
        <v>0.29761904761904762</v>
      </c>
    </row>
    <row r="61" spans="2:12" ht="15.75" thickBot="1" x14ac:dyDescent="0.3">
      <c r="B61" s="38" t="s">
        <v>212</v>
      </c>
      <c r="C61" s="36" t="s">
        <v>213</v>
      </c>
      <c r="D61" s="36" t="s">
        <v>214</v>
      </c>
      <c r="E61" s="36" t="s">
        <v>215</v>
      </c>
      <c r="G61">
        <v>22</v>
      </c>
      <c r="H61">
        <f>G61/10</f>
        <v>2.2000000000000002</v>
      </c>
      <c r="I61">
        <f>G61/10</f>
        <v>2.2000000000000002</v>
      </c>
      <c r="K61" s="13">
        <f>I61/7</f>
        <v>0.31428571428571433</v>
      </c>
      <c r="L61" t="s">
        <v>220</v>
      </c>
    </row>
    <row r="62" spans="2:12" ht="15.75" thickBot="1" x14ac:dyDescent="0.3">
      <c r="B62" s="38" t="s">
        <v>216</v>
      </c>
      <c r="C62" s="36">
        <v>16</v>
      </c>
      <c r="D62" s="36" t="s">
        <v>217</v>
      </c>
      <c r="E62" s="36"/>
      <c r="H62" s="35">
        <f>SUM(H59:H61)</f>
        <v>17.149999999999999</v>
      </c>
      <c r="I62" t="s">
        <v>224</v>
      </c>
    </row>
    <row r="63" spans="2:12" x14ac:dyDescent="0.25">
      <c r="F63" t="s">
        <v>221</v>
      </c>
      <c r="H63" s="5">
        <v>15.8</v>
      </c>
    </row>
    <row r="64" spans="2:12" x14ac:dyDescent="0.25">
      <c r="F64" t="s">
        <v>222</v>
      </c>
      <c r="H64" s="5">
        <v>18.3</v>
      </c>
    </row>
    <row r="66" spans="2:16" x14ac:dyDescent="0.25">
      <c r="B66" s="31" t="s">
        <v>199</v>
      </c>
      <c r="C66" s="31"/>
      <c r="D66" s="31"/>
      <c r="E66" s="31"/>
      <c r="F66" s="31"/>
      <c r="G66" s="31"/>
    </row>
    <row r="67" spans="2:16" x14ac:dyDescent="0.25">
      <c r="I67" s="1"/>
    </row>
    <row r="68" spans="2:16" hidden="1" x14ac:dyDescent="0.25">
      <c r="F68">
        <v>870</v>
      </c>
      <c r="G68" s="12">
        <v>970</v>
      </c>
      <c r="O68" s="13">
        <f t="shared" ref="O68:O75" si="5">F68*$F$6</f>
        <v>1.9180193999999999</v>
      </c>
      <c r="P68" s="13">
        <f t="shared" ref="P68:P75" si="6">G68*$F$6</f>
        <v>2.1384813999999999</v>
      </c>
    </row>
    <row r="69" spans="2:16" hidden="1" x14ac:dyDescent="0.25">
      <c r="F69">
        <v>960</v>
      </c>
      <c r="G69" s="12">
        <v>1080</v>
      </c>
      <c r="O69" s="13">
        <f t="shared" si="5"/>
        <v>2.1164352000000002</v>
      </c>
      <c r="P69" s="13">
        <f t="shared" si="6"/>
        <v>2.3809895999999999</v>
      </c>
    </row>
    <row r="70" spans="2:16" hidden="1" x14ac:dyDescent="0.25">
      <c r="F70">
        <v>1050</v>
      </c>
      <c r="G70" s="12">
        <v>1117</v>
      </c>
      <c r="O70" s="13">
        <f t="shared" si="5"/>
        <v>2.314851</v>
      </c>
      <c r="P70" s="13">
        <f t="shared" si="6"/>
        <v>2.4625605400000001</v>
      </c>
    </row>
    <row r="71" spans="2:16" hidden="1" x14ac:dyDescent="0.25">
      <c r="F71">
        <v>1130</v>
      </c>
      <c r="G71" s="12">
        <v>1250</v>
      </c>
      <c r="O71" s="13">
        <f t="shared" si="5"/>
        <v>2.4912206000000001</v>
      </c>
      <c r="P71" s="13">
        <f t="shared" si="6"/>
        <v>2.7557749999999999</v>
      </c>
    </row>
    <row r="72" spans="2:16" hidden="1" x14ac:dyDescent="0.25">
      <c r="F72">
        <v>1210</v>
      </c>
      <c r="G72" s="12">
        <v>1310</v>
      </c>
      <c r="O72" s="13">
        <f t="shared" si="5"/>
        <v>2.6675901999999998</v>
      </c>
      <c r="P72" s="13">
        <f t="shared" si="6"/>
        <v>2.8880522000000002</v>
      </c>
    </row>
    <row r="73" spans="2:16" hidden="1" x14ac:dyDescent="0.25">
      <c r="F73">
        <v>1290</v>
      </c>
      <c r="G73" s="12">
        <v>1370</v>
      </c>
      <c r="O73" s="13">
        <f t="shared" si="5"/>
        <v>2.8439597999999999</v>
      </c>
      <c r="P73" s="13">
        <f t="shared" si="6"/>
        <v>3.0203294000000001</v>
      </c>
    </row>
    <row r="74" spans="2:16" hidden="1" x14ac:dyDescent="0.25">
      <c r="F74">
        <v>1360</v>
      </c>
      <c r="G74" s="12">
        <v>1430</v>
      </c>
      <c r="O74" s="13">
        <f t="shared" si="5"/>
        <v>2.9982831999999999</v>
      </c>
      <c r="P74" s="13">
        <f t="shared" si="6"/>
        <v>3.1526065999999999</v>
      </c>
    </row>
    <row r="75" spans="2:16" hidden="1" x14ac:dyDescent="0.25">
      <c r="F75">
        <v>1500</v>
      </c>
      <c r="G75" s="12">
        <v>1540</v>
      </c>
      <c r="O75" s="13">
        <f t="shared" si="5"/>
        <v>3.3069299999999999</v>
      </c>
      <c r="P75" s="13">
        <f t="shared" si="6"/>
        <v>3.3951148</v>
      </c>
    </row>
    <row r="76" spans="2:16" x14ac:dyDescent="0.25">
      <c r="G76" s="12"/>
      <c r="O76" s="13"/>
      <c r="P76" s="13"/>
    </row>
    <row r="77" spans="2:16" x14ac:dyDescent="0.25">
      <c r="C77" t="s">
        <v>229</v>
      </c>
      <c r="J77" t="s">
        <v>230</v>
      </c>
    </row>
    <row r="78" spans="2:16" ht="30" x14ac:dyDescent="0.25">
      <c r="B78" s="29" t="s">
        <v>226</v>
      </c>
      <c r="C78" s="29" t="s">
        <v>227</v>
      </c>
      <c r="D78" s="29" t="s">
        <v>56</v>
      </c>
      <c r="E78" s="42" t="s">
        <v>228</v>
      </c>
      <c r="F78" s="29" t="s">
        <v>58</v>
      </c>
      <c r="I78" s="29" t="s">
        <v>226</v>
      </c>
      <c r="J78" s="29" t="s">
        <v>227</v>
      </c>
      <c r="K78" s="29" t="s">
        <v>56</v>
      </c>
      <c r="L78" s="42" t="s">
        <v>228</v>
      </c>
      <c r="M78" s="29" t="s">
        <v>58</v>
      </c>
    </row>
    <row r="79" spans="2:16" x14ac:dyDescent="0.25">
      <c r="B79" s="5">
        <v>1</v>
      </c>
      <c r="C79" s="1">
        <v>0.17</v>
      </c>
      <c r="D79" s="10">
        <v>0.22046199999999999</v>
      </c>
      <c r="E79" s="10">
        <v>0.22046199999999999</v>
      </c>
      <c r="F79" s="10">
        <v>1.2968352941176469</v>
      </c>
      <c r="I79" s="4">
        <v>20</v>
      </c>
      <c r="J79" s="4">
        <v>3.2</v>
      </c>
      <c r="K79" s="41">
        <v>1.2</v>
      </c>
      <c r="L79" s="41">
        <v>14.284419700000001</v>
      </c>
      <c r="M79" s="41">
        <v>4.4638811562500003</v>
      </c>
    </row>
    <row r="80" spans="2:16" x14ac:dyDescent="0.25">
      <c r="B80" s="5">
        <v>2</v>
      </c>
      <c r="C80" s="1">
        <v>0.28999999999999998</v>
      </c>
      <c r="D80" s="10">
        <v>0.26455439999999997</v>
      </c>
      <c r="E80" s="10">
        <v>0.48501639999999996</v>
      </c>
      <c r="F80" s="10">
        <v>1.6724703448275862</v>
      </c>
      <c r="I80" s="4">
        <v>24</v>
      </c>
      <c r="J80" s="4">
        <v>3.44</v>
      </c>
      <c r="K80" s="41">
        <v>1.4707020020000001</v>
      </c>
      <c r="L80" s="41">
        <v>15.755121702</v>
      </c>
      <c r="M80" s="41">
        <v>4.5799772389534885</v>
      </c>
    </row>
    <row r="81" spans="2:13" x14ac:dyDescent="0.25">
      <c r="B81" s="5">
        <v>3</v>
      </c>
      <c r="C81" s="1">
        <v>0.45</v>
      </c>
      <c r="D81" s="10">
        <v>0.31966989999999995</v>
      </c>
      <c r="E81" s="10">
        <v>0.80468629999999997</v>
      </c>
      <c r="F81" s="10">
        <v>1.7881917777777776</v>
      </c>
      <c r="I81" s="4">
        <v>28</v>
      </c>
      <c r="J81" s="4">
        <v>3.52</v>
      </c>
      <c r="K81" s="41">
        <v>1.4753317039999998</v>
      </c>
      <c r="L81" s="41">
        <v>17.230453405999999</v>
      </c>
      <c r="M81" s="41">
        <v>4.8950151721590904</v>
      </c>
    </row>
    <row r="82" spans="2:13" x14ac:dyDescent="0.25">
      <c r="B82" s="5">
        <v>4</v>
      </c>
      <c r="C82" s="1">
        <v>0.65</v>
      </c>
      <c r="D82" s="10">
        <v>0.44092399999999998</v>
      </c>
      <c r="E82" s="10">
        <v>1.2456103000000001</v>
      </c>
      <c r="F82" s="10">
        <v>1.9163235384615385</v>
      </c>
      <c r="I82" s="4">
        <v>32</v>
      </c>
      <c r="J82" s="4">
        <v>3.55</v>
      </c>
      <c r="K82" s="41">
        <v>1.4367508539999998</v>
      </c>
      <c r="L82" s="41">
        <v>18.667204259999998</v>
      </c>
      <c r="M82" s="41">
        <v>5.2583673971830986</v>
      </c>
    </row>
    <row r="83" spans="2:13" x14ac:dyDescent="0.25">
      <c r="B83" s="5">
        <v>5</v>
      </c>
      <c r="C83" s="1">
        <v>0.88</v>
      </c>
      <c r="D83" s="10">
        <v>0.59524739999999998</v>
      </c>
      <c r="E83" s="10">
        <v>1.8408576999999999</v>
      </c>
      <c r="F83" s="10">
        <v>2.09188375</v>
      </c>
      <c r="I83" s="4">
        <v>36</v>
      </c>
      <c r="J83" s="4">
        <v>3.57</v>
      </c>
      <c r="K83" s="41">
        <v>1.4336643860000002</v>
      </c>
      <c r="L83" s="41">
        <v>20.100868645999999</v>
      </c>
      <c r="M83" s="41">
        <v>5.6304954190476186</v>
      </c>
    </row>
    <row r="84" spans="2:13" x14ac:dyDescent="0.25">
      <c r="B84" s="5">
        <v>6</v>
      </c>
      <c r="C84" s="1">
        <v>1.1000000000000001</v>
      </c>
      <c r="D84" s="10">
        <v>0.66138599999999992</v>
      </c>
      <c r="E84" s="10">
        <v>2.5022436999999997</v>
      </c>
      <c r="F84" s="10">
        <v>2.2747669999999998</v>
      </c>
      <c r="I84" s="4">
        <v>40</v>
      </c>
      <c r="J84" s="4">
        <v>3.59</v>
      </c>
      <c r="K84" s="41">
        <v>1.430577918</v>
      </c>
      <c r="L84" s="41">
        <v>21.531446563999999</v>
      </c>
      <c r="M84" s="41">
        <v>5.9976174272980503</v>
      </c>
    </row>
    <row r="85" spans="2:13" x14ac:dyDescent="0.25">
      <c r="B85" s="5">
        <v>7</v>
      </c>
      <c r="C85" s="1">
        <v>1.34</v>
      </c>
      <c r="D85" s="10">
        <v>0.70547839999999995</v>
      </c>
      <c r="E85" s="10">
        <v>3.2077220999999998</v>
      </c>
      <c r="F85" s="10">
        <v>2.393822462686567</v>
      </c>
      <c r="I85" s="4">
        <v>44</v>
      </c>
      <c r="J85" s="4">
        <v>3.61</v>
      </c>
      <c r="K85" s="41">
        <v>1.5602095739999999</v>
      </c>
      <c r="L85" s="41">
        <v>23.091656137999998</v>
      </c>
      <c r="M85" s="41">
        <v>6.396580647645429</v>
      </c>
    </row>
    <row r="86" spans="2:13" x14ac:dyDescent="0.25">
      <c r="B86" s="5">
        <v>8</v>
      </c>
      <c r="C86" s="1">
        <v>1.58</v>
      </c>
      <c r="D86" s="10">
        <v>0.74957079999999998</v>
      </c>
      <c r="E86" s="10">
        <v>3.9572928999999997</v>
      </c>
      <c r="F86" s="10">
        <v>2.5046157594936704</v>
      </c>
      <c r="I86" s="4">
        <v>48</v>
      </c>
      <c r="J86" s="4">
        <v>3.63</v>
      </c>
      <c r="K86" s="41">
        <v>1.561752808</v>
      </c>
      <c r="L86" s="41">
        <v>24.653408945999999</v>
      </c>
      <c r="M86" s="41">
        <v>6.791572712396694</v>
      </c>
    </row>
    <row r="87" spans="2:13" x14ac:dyDescent="0.25">
      <c r="B87" s="5">
        <v>9</v>
      </c>
      <c r="C87" s="1">
        <v>1.82</v>
      </c>
      <c r="D87" s="10">
        <v>0.80468629999999985</v>
      </c>
      <c r="E87" s="10">
        <v>4.7619791999999999</v>
      </c>
      <c r="F87" s="10">
        <v>2.6164720879120877</v>
      </c>
      <c r="I87" s="4">
        <v>52</v>
      </c>
      <c r="J87" s="4">
        <v>3.64</v>
      </c>
      <c r="K87" s="41">
        <v>1.6265686360000002</v>
      </c>
      <c r="L87" s="41">
        <v>26.279977582000001</v>
      </c>
      <c r="M87" s="41">
        <v>7.2197740609890113</v>
      </c>
    </row>
    <row r="88" spans="2:13" x14ac:dyDescent="0.25">
      <c r="B88" s="5">
        <v>10</v>
      </c>
      <c r="C88" s="1">
        <v>1.98</v>
      </c>
      <c r="D88" s="10">
        <v>0.83775559999999993</v>
      </c>
      <c r="E88" s="10">
        <v>5.5997348000000002</v>
      </c>
      <c r="F88" s="10">
        <v>2.8281488888888888</v>
      </c>
      <c r="I88" s="4">
        <v>56</v>
      </c>
      <c r="J88" s="4">
        <v>3.65</v>
      </c>
      <c r="K88" s="41">
        <v>1.7145329739999999</v>
      </c>
      <c r="L88" s="41">
        <v>27.994510556000002</v>
      </c>
      <c r="M88" s="41">
        <v>7.669728919452055</v>
      </c>
    </row>
    <row r="89" spans="2:13" x14ac:dyDescent="0.25">
      <c r="B89" s="5">
        <v>11</v>
      </c>
      <c r="C89" s="1">
        <v>2.17</v>
      </c>
      <c r="D89" s="10">
        <v>0.8487787</v>
      </c>
      <c r="E89" s="10">
        <v>6.4485135000000007</v>
      </c>
      <c r="F89" s="10">
        <v>2.9716652073732721</v>
      </c>
      <c r="I89" s="4">
        <v>60</v>
      </c>
      <c r="J89" s="4">
        <v>3.66</v>
      </c>
      <c r="K89" s="41">
        <v>1.8364484599999999</v>
      </c>
      <c r="L89" s="41">
        <v>29.830959016000001</v>
      </c>
      <c r="M89" s="41">
        <v>8.150535250273224</v>
      </c>
    </row>
    <row r="90" spans="2:13" x14ac:dyDescent="0.25">
      <c r="B90" s="5">
        <v>12</v>
      </c>
      <c r="C90" s="1">
        <v>2.37</v>
      </c>
      <c r="D90" s="10">
        <v>0.88184799999999997</v>
      </c>
      <c r="E90" s="10">
        <v>7.3303615000000004</v>
      </c>
      <c r="F90" s="10">
        <v>3.0929795358649788</v>
      </c>
      <c r="I90" s="4">
        <v>64</v>
      </c>
      <c r="J90" s="4">
        <v>3.67</v>
      </c>
      <c r="K90" s="41">
        <v>1.887375182</v>
      </c>
      <c r="L90" s="41">
        <v>31.718334198000001</v>
      </c>
      <c r="M90" s="41">
        <v>8.6425978741144416</v>
      </c>
    </row>
    <row r="91" spans="2:13" x14ac:dyDescent="0.25">
      <c r="B91" s="5">
        <v>13</v>
      </c>
      <c r="C91" s="1">
        <v>2.54</v>
      </c>
      <c r="D91" s="10">
        <v>0.90389419999999987</v>
      </c>
      <c r="E91" s="10">
        <v>8.2342557000000003</v>
      </c>
      <c r="F91" s="10">
        <v>3.2418329527559058</v>
      </c>
      <c r="I91" s="4">
        <v>68</v>
      </c>
      <c r="J91" s="4">
        <v>3.68</v>
      </c>
      <c r="K91" s="41">
        <v>1.9305857339999999</v>
      </c>
      <c r="L91" s="41">
        <v>33.648919931999998</v>
      </c>
      <c r="M91" s="41">
        <v>9.1437282423913029</v>
      </c>
    </row>
    <row r="92" spans="2:13" x14ac:dyDescent="0.25">
      <c r="B92" s="5">
        <v>14</v>
      </c>
      <c r="C92" s="1">
        <v>2.64</v>
      </c>
      <c r="D92" s="10">
        <v>0.92594039999999989</v>
      </c>
      <c r="E92" s="10">
        <v>9.1601961000000003</v>
      </c>
      <c r="F92" s="10">
        <v>3.46977125</v>
      </c>
    </row>
    <row r="93" spans="2:13" x14ac:dyDescent="0.25">
      <c r="B93" s="5">
        <v>15</v>
      </c>
      <c r="C93" s="1">
        <v>2.75</v>
      </c>
      <c r="D93" s="10">
        <v>0.9479865999999999</v>
      </c>
      <c r="E93" s="10">
        <v>10.1081827</v>
      </c>
      <c r="F93" s="10">
        <v>3.6757028000000003</v>
      </c>
      <c r="H93" t="s">
        <v>231</v>
      </c>
    </row>
    <row r="94" spans="2:13" x14ac:dyDescent="0.25">
      <c r="B94" s="5">
        <v>16</v>
      </c>
      <c r="C94" s="1">
        <v>2.82</v>
      </c>
      <c r="D94" s="10">
        <v>0.97003279999999992</v>
      </c>
      <c r="E94" s="10">
        <v>11.078215500000001</v>
      </c>
      <c r="F94" s="10">
        <v>3.9284452127659577</v>
      </c>
    </row>
    <row r="95" spans="2:13" x14ac:dyDescent="0.25">
      <c r="B95" s="5">
        <v>17</v>
      </c>
      <c r="C95" s="1">
        <v>2.89</v>
      </c>
      <c r="D95" s="10">
        <v>0.99207899999999993</v>
      </c>
      <c r="E95" s="10">
        <v>12.070294500000001</v>
      </c>
      <c r="F95" s="10">
        <v>4.1765724913494813</v>
      </c>
    </row>
    <row r="96" spans="2:13" x14ac:dyDescent="0.25">
      <c r="B96" s="5">
        <v>18</v>
      </c>
      <c r="C96" s="1">
        <v>2.95</v>
      </c>
      <c r="D96" s="10">
        <v>1.0141252000000001</v>
      </c>
      <c r="E96" s="10">
        <v>13.084419700000002</v>
      </c>
      <c r="F96" s="10">
        <v>4.4353965084745761</v>
      </c>
    </row>
    <row r="97" spans="2:8" x14ac:dyDescent="0.25">
      <c r="B97" s="1"/>
      <c r="C97" s="1"/>
      <c r="D97" s="10"/>
      <c r="E97" s="10"/>
      <c r="F97" s="10"/>
    </row>
    <row r="98" spans="2:8" x14ac:dyDescent="0.25">
      <c r="B98" s="31" t="s">
        <v>225</v>
      </c>
      <c r="C98" s="31"/>
      <c r="D98" s="31"/>
      <c r="E98" s="31"/>
      <c r="F98" s="31"/>
      <c r="G98" s="31"/>
      <c r="H98" s="31"/>
    </row>
  </sheetData>
  <hyperlinks>
    <hyperlink ref="B46" r:id="rId1" xr:uid="{00000000-0004-0000-0A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Q170"/>
  <sheetViews>
    <sheetView showGridLines="0" topLeftCell="A44" zoomScaleNormal="100" workbookViewId="0">
      <selection activeCell="L50" sqref="L50"/>
    </sheetView>
  </sheetViews>
  <sheetFormatPr defaultColWidth="9" defaultRowHeight="12.75" x14ac:dyDescent="0.25"/>
  <cols>
    <col min="1" max="1" width="5.140625" style="44" customWidth="1"/>
    <col min="2" max="2" width="13" style="44" customWidth="1"/>
    <col min="3" max="3" width="10.28515625" style="44" customWidth="1"/>
    <col min="4" max="5" width="10.85546875" style="44" customWidth="1"/>
    <col min="6" max="6" width="10.28515625" style="44" customWidth="1"/>
    <col min="7" max="7" width="12.28515625" style="44" customWidth="1"/>
    <col min="8" max="8" width="10.42578125" style="44" customWidth="1"/>
    <col min="9" max="9" width="12.140625" style="44" customWidth="1"/>
    <col min="10" max="10" width="8.140625" style="44" customWidth="1"/>
    <col min="11" max="11" width="8" style="44" customWidth="1"/>
    <col min="12" max="12" width="9" style="44" customWidth="1"/>
    <col min="13" max="13" width="13.140625" style="44" customWidth="1"/>
    <col min="14" max="14" width="10.28515625" style="44" customWidth="1"/>
    <col min="15" max="15" width="11.5703125" style="44" customWidth="1"/>
    <col min="16" max="16" width="9.85546875" style="44" customWidth="1"/>
    <col min="17" max="16384" width="9" style="44"/>
  </cols>
  <sheetData>
    <row r="1" spans="2:17" ht="12.75" customHeight="1" x14ac:dyDescent="0.25"/>
    <row r="2" spans="2:17" ht="15.75" x14ac:dyDescent="0.25">
      <c r="B2" s="341" t="s">
        <v>477</v>
      </c>
      <c r="C2" s="341"/>
      <c r="D2" s="341"/>
      <c r="E2" s="341"/>
      <c r="F2" s="341"/>
      <c r="G2" s="341"/>
      <c r="H2" s="341"/>
      <c r="I2" s="341"/>
      <c r="J2" s="226"/>
      <c r="K2" s="229"/>
      <c r="L2" s="51"/>
      <c r="M2" s="51"/>
      <c r="N2" s="51"/>
      <c r="O2" s="51"/>
    </row>
    <row r="3" spans="2:17" ht="12.75" customHeight="1" x14ac:dyDescent="0.25">
      <c r="B3" s="327"/>
      <c r="C3" s="328"/>
      <c r="D3" s="328"/>
      <c r="E3" s="328"/>
      <c r="F3" s="328"/>
      <c r="G3" s="328"/>
      <c r="H3" s="328"/>
      <c r="I3" s="329"/>
      <c r="J3" s="230"/>
      <c r="K3" s="231" t="s">
        <v>163</v>
      </c>
      <c r="L3" s="160"/>
      <c r="M3" s="160"/>
      <c r="N3" s="160"/>
      <c r="O3" s="160"/>
      <c r="P3" s="160"/>
      <c r="Q3" s="160"/>
    </row>
    <row r="4" spans="2:17" ht="12.75" customHeight="1" x14ac:dyDescent="0.25">
      <c r="B4" s="342" t="s">
        <v>312</v>
      </c>
      <c r="C4" s="342"/>
      <c r="D4" s="342"/>
      <c r="E4" s="342"/>
      <c r="F4" s="342"/>
      <c r="G4" s="342"/>
      <c r="H4" s="340" t="s">
        <v>79</v>
      </c>
      <c r="I4" s="340"/>
      <c r="J4" s="46"/>
      <c r="K4" s="47" t="s">
        <v>426</v>
      </c>
      <c r="M4" s="49"/>
    </row>
    <row r="5" spans="2:17" ht="4.5" customHeight="1" x14ac:dyDescent="0.25">
      <c r="B5" s="330"/>
      <c r="C5" s="331"/>
      <c r="D5" s="331"/>
      <c r="E5" s="331"/>
      <c r="F5" s="331"/>
      <c r="G5" s="331"/>
      <c r="H5" s="331"/>
      <c r="I5" s="332"/>
      <c r="J5" s="46"/>
      <c r="K5" s="47"/>
      <c r="M5" s="49"/>
    </row>
    <row r="6" spans="2:17" ht="12.75" customHeight="1" x14ac:dyDescent="0.25">
      <c r="B6" s="333" t="s">
        <v>102</v>
      </c>
      <c r="C6" s="333"/>
      <c r="D6" s="333"/>
      <c r="E6" s="333"/>
      <c r="F6" s="333"/>
      <c r="G6" s="333"/>
      <c r="H6" s="240">
        <v>1</v>
      </c>
      <c r="I6" s="88"/>
      <c r="J6" s="233"/>
      <c r="K6" s="47" t="s">
        <v>413</v>
      </c>
    </row>
    <row r="7" spans="2:17" ht="12.75" customHeight="1" x14ac:dyDescent="0.25">
      <c r="B7" s="333" t="s">
        <v>362</v>
      </c>
      <c r="C7" s="333"/>
      <c r="D7" s="333"/>
      <c r="E7" s="333"/>
      <c r="F7" s="333"/>
      <c r="G7" s="333"/>
      <c r="H7" s="243">
        <v>250</v>
      </c>
      <c r="I7" s="234"/>
      <c r="J7" s="233"/>
      <c r="K7" s="47" t="s">
        <v>291</v>
      </c>
    </row>
    <row r="8" spans="2:17" ht="12.75" customHeight="1" x14ac:dyDescent="0.25">
      <c r="B8" s="333" t="s">
        <v>566</v>
      </c>
      <c r="C8" s="333"/>
      <c r="D8" s="333"/>
      <c r="E8" s="333"/>
      <c r="F8" s="333"/>
      <c r="G8" s="333"/>
      <c r="H8" s="305">
        <f>IF(H6='Drop Box Names'!B4,'Egg Production, Feed Intake'!H11,IF(H6='Drop Box Names'!B5,'Egg Production, Feed Intake'!H12,IF(H6='Drop Box Names'!B6,'Egg Production, Feed Intake'!H13,IF(H6='Drop Box Names'!B7,'Egg Production, Feed Intake'!H14,IF(H6='Drop Box Names'!B8,'Egg Production, Feed Intake'!H15)))))</f>
        <v>250</v>
      </c>
      <c r="I8" s="234"/>
      <c r="J8" s="233"/>
      <c r="K8" s="47"/>
    </row>
    <row r="9" spans="2:17" ht="12.75" customHeight="1" x14ac:dyDescent="0.25">
      <c r="B9" s="333" t="s">
        <v>110</v>
      </c>
      <c r="C9" s="333"/>
      <c r="D9" s="333"/>
      <c r="E9" s="333"/>
      <c r="F9" s="333"/>
      <c r="G9" s="333"/>
      <c r="H9" s="286">
        <v>6</v>
      </c>
      <c r="I9" s="234"/>
      <c r="J9" s="233"/>
      <c r="K9" s="47" t="s">
        <v>429</v>
      </c>
    </row>
    <row r="10" spans="2:17" hidden="1" x14ac:dyDescent="0.25">
      <c r="B10" s="335" t="s">
        <v>524</v>
      </c>
      <c r="C10" s="335"/>
      <c r="D10" s="335"/>
      <c r="E10" s="335"/>
      <c r="F10" s="335"/>
      <c r="G10" s="335"/>
      <c r="H10" s="287">
        <v>18</v>
      </c>
    </row>
    <row r="11" spans="2:17" hidden="1" x14ac:dyDescent="0.25">
      <c r="B11" s="337" t="s">
        <v>528</v>
      </c>
      <c r="C11" s="337"/>
      <c r="D11" s="337"/>
      <c r="E11" s="337"/>
      <c r="F11" s="337"/>
      <c r="G11" s="337"/>
      <c r="H11" s="287">
        <v>14</v>
      </c>
    </row>
    <row r="12" spans="2:17" hidden="1" x14ac:dyDescent="0.25">
      <c r="B12" s="337" t="s">
        <v>529</v>
      </c>
      <c r="C12" s="337"/>
      <c r="D12" s="337"/>
      <c r="E12" s="337"/>
      <c r="F12" s="337"/>
      <c r="G12" s="337"/>
      <c r="H12" s="290">
        <f>H11+(H10*7/30)</f>
        <v>18.2</v>
      </c>
    </row>
    <row r="13" spans="2:17" hidden="1" x14ac:dyDescent="0.25">
      <c r="B13" s="337" t="s">
        <v>531</v>
      </c>
      <c r="C13" s="337"/>
      <c r="D13" s="337"/>
      <c r="E13" s="337"/>
      <c r="F13" s="337"/>
      <c r="G13" s="337"/>
      <c r="H13" s="295">
        <v>0.85</v>
      </c>
    </row>
    <row r="14" spans="2:17" ht="4.5" customHeight="1" x14ac:dyDescent="0.25">
      <c r="B14" s="326"/>
      <c r="C14" s="326"/>
      <c r="D14" s="326"/>
      <c r="E14" s="326"/>
      <c r="F14" s="326"/>
      <c r="G14" s="326"/>
      <c r="H14" s="326"/>
      <c r="I14" s="326"/>
      <c r="K14" s="47"/>
    </row>
    <row r="15" spans="2:17" ht="25.5" customHeight="1" x14ac:dyDescent="0.25">
      <c r="B15" s="323"/>
      <c r="C15" s="324"/>
      <c r="D15" s="325"/>
      <c r="E15" s="102" t="s">
        <v>548</v>
      </c>
      <c r="F15" s="112" t="s">
        <v>565</v>
      </c>
      <c r="G15" s="102" t="s">
        <v>547</v>
      </c>
      <c r="H15" s="102" t="s">
        <v>546</v>
      </c>
      <c r="I15" s="88"/>
      <c r="K15" s="47"/>
    </row>
    <row r="16" spans="2:17" ht="12.75" customHeight="1" x14ac:dyDescent="0.25">
      <c r="B16" s="333" t="s">
        <v>559</v>
      </c>
      <c r="C16" s="333"/>
      <c r="D16" s="333"/>
      <c r="E16" s="236">
        <v>0.7</v>
      </c>
      <c r="F16" s="123">
        <f>G16*12</f>
        <v>9725.625</v>
      </c>
      <c r="G16" s="123">
        <f>IF(H6='Drop Box Names'!B4,'Egg Production, Feed Intake'!J11*E16,IF(H6='Drop Box Names'!B5,'Egg Production, Feed Intake'!M12*E16,IF(H6='Drop Box Names'!B6,AVERAGE('Egg Production, Feed Intake'!J11,'Egg Production, Feed Intake'!J13)*E16,IF(H6='Drop Box Names'!B7,'Egg Production, Feed Intake'!M14*E16,IF(H6='Drop Box Names'!B8,AVERAGE('Egg Production, Feed Intake'!J11,'Egg Production, Feed Intake'!J13,'Egg Production, Feed Intake'!J15)*E16)))))</f>
        <v>810.46875</v>
      </c>
      <c r="H16" s="237">
        <v>4</v>
      </c>
      <c r="I16" s="88"/>
      <c r="K16" s="47"/>
      <c r="N16" s="45"/>
    </row>
    <row r="17" spans="2:14" ht="12.75" customHeight="1" x14ac:dyDescent="0.25">
      <c r="B17" s="333" t="s">
        <v>560</v>
      </c>
      <c r="C17" s="333"/>
      <c r="D17" s="333"/>
      <c r="E17" s="236">
        <v>0.25</v>
      </c>
      <c r="F17" s="123">
        <f>G17*12</f>
        <v>3473.4375</v>
      </c>
      <c r="G17" s="123">
        <f>IF(H6='Drop Box Names'!B4,'Egg Production, Feed Intake'!J11*E17,IF(H6='Drop Box Names'!B5,'Egg Production, Feed Intake'!M12*E17,IF(H6='Drop Box Names'!B6,AVERAGE('Egg Production, Feed Intake'!J11,'Egg Production, Feed Intake'!J13)*E17,IF(H6='Drop Box Names'!B7,'Egg Production, Feed Intake'!M14*E17,IF(H6='Drop Box Names'!B8,AVERAGE('Egg Production, Feed Intake'!J11,'Egg Production, Feed Intake'!J13,'Egg Production, Feed Intake'!J15)*E17)))))</f>
        <v>289.453125</v>
      </c>
      <c r="H17" s="238">
        <v>5</v>
      </c>
      <c r="I17" s="88"/>
      <c r="K17" s="47"/>
      <c r="N17" s="45"/>
    </row>
    <row r="18" spans="2:14" ht="12.75" customHeight="1" x14ac:dyDescent="0.25">
      <c r="B18" s="333" t="s">
        <v>452</v>
      </c>
      <c r="C18" s="333"/>
      <c r="D18" s="333"/>
      <c r="E18" s="99">
        <f>1-E16-E17</f>
        <v>5.0000000000000044E-2</v>
      </c>
      <c r="F18" s="123">
        <f>G18*12</f>
        <v>694.68750000000057</v>
      </c>
      <c r="G18" s="123">
        <f>IF(H6='Drop Box Names'!B4,'Egg Production, Feed Intake'!J11*E18,IF(H6='Drop Box Names'!B5,'Egg Production, Feed Intake'!M12*E18,IF(H6='Drop Box Names'!B6,AVERAGE('Egg Production, Feed Intake'!J11,'Egg Production, Feed Intake'!J13)*E18,IF(H6='Drop Box Names'!B7,'Egg Production, Feed Intake'!M14*E18,IF(H6='Drop Box Names'!B8,AVERAGE('Egg Production, Feed Intake'!J11,'Egg Production, Feed Intake'!J13,'Egg Production, Feed Intake'!J15)*E18)))))</f>
        <v>57.89062500000005</v>
      </c>
      <c r="H18" s="88"/>
      <c r="I18" s="88"/>
      <c r="K18" s="47" t="s">
        <v>400</v>
      </c>
      <c r="N18" s="45"/>
    </row>
    <row r="19" spans="2:14" ht="12.75" customHeight="1" x14ac:dyDescent="0.25">
      <c r="B19" s="343" t="s">
        <v>491</v>
      </c>
      <c r="C19" s="344"/>
      <c r="D19" s="345"/>
      <c r="E19" s="99">
        <f>SUM(E16:E18)</f>
        <v>1</v>
      </c>
      <c r="F19" s="123">
        <f>SUM(F16:F18)</f>
        <v>13893.75</v>
      </c>
      <c r="G19" s="123">
        <f>SUM(G16:G18)</f>
        <v>1157.8125</v>
      </c>
      <c r="H19" s="88"/>
      <c r="I19" s="88"/>
      <c r="K19" s="47"/>
      <c r="N19" s="45"/>
    </row>
    <row r="20" spans="2:14" ht="4.5" customHeight="1" x14ac:dyDescent="0.25">
      <c r="B20" s="326"/>
      <c r="C20" s="326"/>
      <c r="D20" s="326"/>
      <c r="E20" s="326"/>
      <c r="F20" s="326"/>
      <c r="G20" s="326"/>
      <c r="H20" s="326"/>
      <c r="I20" s="326"/>
    </row>
    <row r="21" spans="2:14" ht="25.5" customHeight="1" x14ac:dyDescent="0.25">
      <c r="B21" s="323"/>
      <c r="C21" s="324"/>
      <c r="D21" s="325"/>
      <c r="E21" s="102" t="s">
        <v>551</v>
      </c>
      <c r="F21" s="102" t="s">
        <v>549</v>
      </c>
      <c r="G21" s="102" t="s">
        <v>550</v>
      </c>
      <c r="H21" s="102" t="s">
        <v>553</v>
      </c>
      <c r="I21" s="102" t="s">
        <v>552</v>
      </c>
      <c r="K21" s="47"/>
      <c r="N21" s="45"/>
    </row>
    <row r="22" spans="2:14" ht="12.75" customHeight="1" x14ac:dyDescent="0.25">
      <c r="B22" s="333" t="s">
        <v>453</v>
      </c>
      <c r="C22" s="333"/>
      <c r="D22" s="333"/>
      <c r="E22" s="236">
        <v>0.6</v>
      </c>
      <c r="F22" s="123">
        <f>IF(H6='Drop Box Names'!B4,'Egg Production, Feed Intake'!N11*E22/H6,IF(H6='Drop Box Names'!B5,'Egg Production, Feed Intake'!N12*E22/H6,IF(H6='Drop Box Names'!B6,'Egg Production, Feed Intake'!N13*E22/H6,IF(H6='Drop Box Names'!B7,'Egg Production, Feed Intake'!N14*E22/H6,'Egg Production, Feed Intake'!N15*E22/H6))))</f>
        <v>32.489999999999995</v>
      </c>
      <c r="H22" s="237">
        <v>5.5</v>
      </c>
      <c r="I22" s="136"/>
      <c r="K22" s="47" t="s">
        <v>361</v>
      </c>
      <c r="L22" s="171"/>
      <c r="N22" s="45"/>
    </row>
    <row r="23" spans="2:14" ht="12.75" customHeight="1" x14ac:dyDescent="0.25">
      <c r="B23" s="333" t="s">
        <v>454</v>
      </c>
      <c r="C23" s="333"/>
      <c r="D23" s="333"/>
      <c r="E23" s="236">
        <v>0.3</v>
      </c>
      <c r="F23" s="123">
        <f>IF(H6='Drop Box Names'!B4,'Egg Production, Feed Intake'!N11*E23/H6,IF(H6='Drop Box Names'!B5,'Egg Production, Feed Intake'!N12*E23/H6,IF(H6='Drop Box Names'!B6,'Egg Production, Feed Intake'!N13*E23/H6,IF(H6='Drop Box Names'!B7,'Egg Production, Feed Intake'!N14*E23/H6,'Egg Production, Feed Intake'!N15*E23/H6))))</f>
        <v>16.244999999999997</v>
      </c>
      <c r="G23" s="179">
        <f>IF(H6='Drop Box Names'!B4,'Egg Production, Feed Intake'!N11*Summary!J8*E23/H6,IF(H6='Drop Box Names'!B5,'Egg Production, Feed Intake'!N12*Summary!J8*E23/H6,IF(H6='Drop Box Names'!B6,'Egg Production, Feed Intake'!N13*Summary!J8*E23/H6,IF(H6='Drop Box Names'!B7,'Egg Production, Feed Intake'!N14*Summary!J8*E23/H6,'Egg Production, Feed Intake'!N15*Summary!J8*E23/H6))))</f>
        <v>68.228999999999985</v>
      </c>
      <c r="I23" s="237">
        <v>3.5</v>
      </c>
      <c r="K23" s="47" t="s">
        <v>350</v>
      </c>
      <c r="L23" s="171"/>
      <c r="M23" s="46"/>
      <c r="N23" s="45"/>
    </row>
    <row r="24" spans="2:14" ht="12.75" customHeight="1" x14ac:dyDescent="0.25">
      <c r="B24" s="333" t="s">
        <v>455</v>
      </c>
      <c r="C24" s="333"/>
      <c r="D24" s="333"/>
      <c r="E24" s="144">
        <f>1-E22-E23</f>
        <v>0.10000000000000003</v>
      </c>
      <c r="F24" s="106">
        <f>IF(H6='Drop Box Names'!B4,'Egg Production, Feed Intake'!N11*E24/H6,IF(H6='Drop Box Names'!B5,'Egg Production, Feed Intake'!N12*E24/H6,IF(H6='Drop Box Names'!B6,'Egg Production, Feed Intake'!N13*E24/H6,IF(H6='Drop Box Names'!B7,'Egg Production, Feed Intake'!N14*E24/H6,'Egg Production, Feed Intake'!N15*E24/H6))))</f>
        <v>5.4150000000000018</v>
      </c>
      <c r="G24" s="112"/>
      <c r="H24" s="107"/>
      <c r="I24" s="88"/>
      <c r="K24" s="47" t="s">
        <v>414</v>
      </c>
      <c r="L24" s="171"/>
      <c r="M24" s="46"/>
      <c r="N24" s="45"/>
    </row>
    <row r="25" spans="2:14" ht="12.75" customHeight="1" x14ac:dyDescent="0.25">
      <c r="B25" s="343" t="s">
        <v>491</v>
      </c>
      <c r="C25" s="344"/>
      <c r="D25" s="344"/>
      <c r="E25" s="101">
        <f>SUM(E22:E24)</f>
        <v>1</v>
      </c>
      <c r="F25" s="106">
        <f>SUM(F22:F24)</f>
        <v>54.149999999999991</v>
      </c>
      <c r="G25" s="136"/>
      <c r="H25" s="107"/>
      <c r="I25" s="88"/>
      <c r="K25" s="47"/>
      <c r="L25" s="171"/>
      <c r="M25" s="46"/>
      <c r="N25" s="45"/>
    </row>
    <row r="26" spans="2:14" ht="12.75" customHeight="1" x14ac:dyDescent="0.25">
      <c r="B26" s="360"/>
      <c r="C26" s="361"/>
      <c r="D26" s="361"/>
      <c r="E26" s="361"/>
      <c r="F26" s="361"/>
      <c r="G26" s="361"/>
      <c r="H26" s="361"/>
      <c r="I26" s="362"/>
      <c r="K26" s="47"/>
      <c r="L26" s="171"/>
      <c r="M26" s="46"/>
      <c r="N26" s="45"/>
    </row>
    <row r="27" spans="2:14" ht="12.75" hidden="1" customHeight="1" x14ac:dyDescent="0.25">
      <c r="B27" s="333" t="str">
        <f>IF(H28='Drop Box Names'!B29,"How would you like to enter the purchasing and shipping cost of chicks?","How would you like to enter the purchasing and shipping cost of started pullets?")</f>
        <v>How would you like to enter the purchasing and shipping cost of chicks?</v>
      </c>
      <c r="C27" s="333"/>
      <c r="D27" s="333"/>
      <c r="E27" s="333"/>
      <c r="F27" s="333"/>
      <c r="G27" s="333"/>
      <c r="H27" s="338" t="s">
        <v>562</v>
      </c>
      <c r="I27" s="339"/>
      <c r="J27" s="46"/>
      <c r="K27" s="47"/>
    </row>
    <row r="28" spans="2:14" ht="12.75" customHeight="1" x14ac:dyDescent="0.25">
      <c r="B28" s="333" t="s">
        <v>575</v>
      </c>
      <c r="C28" s="333"/>
      <c r="D28" s="333"/>
      <c r="E28" s="333"/>
      <c r="F28" s="333"/>
      <c r="G28" s="333"/>
      <c r="H28" s="340" t="s">
        <v>44</v>
      </c>
      <c r="I28" s="340"/>
      <c r="J28" s="46"/>
      <c r="K28" s="47" t="s">
        <v>416</v>
      </c>
    </row>
    <row r="29" spans="2:14" ht="4.5" customHeight="1" x14ac:dyDescent="0.25">
      <c r="B29" s="306"/>
      <c r="C29" s="294"/>
      <c r="D29" s="294"/>
      <c r="E29" s="294"/>
      <c r="F29" s="294"/>
      <c r="G29" s="307"/>
      <c r="H29" s="250"/>
      <c r="I29" s="250"/>
      <c r="J29" s="46"/>
      <c r="K29" s="47"/>
    </row>
    <row r="30" spans="2:14" ht="12.75" customHeight="1" x14ac:dyDescent="0.25">
      <c r="B30" s="334" t="str">
        <f>IF(H28='Drop Box Names'!B29,"Number of chicks purchased:","Number of started pullets purchased:")</f>
        <v>Number of chicks purchased:</v>
      </c>
      <c r="C30" s="335"/>
      <c r="D30" s="335"/>
      <c r="E30" s="335"/>
      <c r="F30" s="335"/>
      <c r="G30" s="336"/>
      <c r="H30" s="250">
        <v>60</v>
      </c>
      <c r="I30" s="250"/>
      <c r="J30" s="46"/>
      <c r="K30" s="47"/>
    </row>
    <row r="31" spans="2:14" ht="12.75" customHeight="1" x14ac:dyDescent="0.25">
      <c r="B31" s="333" t="s">
        <v>567</v>
      </c>
      <c r="C31" s="333"/>
      <c r="D31" s="333"/>
      <c r="E31" s="333"/>
      <c r="F31" s="333"/>
      <c r="G31" s="333"/>
      <c r="H31" s="305">
        <f>IF(H28='Drop Box Names'!B29,H30-H62,H30)</f>
        <v>57</v>
      </c>
      <c r="I31" s="88"/>
      <c r="J31" s="232"/>
      <c r="K31" s="47" t="s">
        <v>558</v>
      </c>
    </row>
    <row r="32" spans="2:14" ht="4.5" customHeight="1" x14ac:dyDescent="0.25">
      <c r="B32" s="327"/>
      <c r="C32" s="328"/>
      <c r="D32" s="328"/>
      <c r="E32" s="328"/>
      <c r="F32" s="328"/>
      <c r="G32" s="328"/>
      <c r="H32" s="328"/>
      <c r="I32" s="329"/>
      <c r="J32" s="230"/>
      <c r="K32" s="265"/>
    </row>
    <row r="33" spans="2:15" ht="12.75" customHeight="1" x14ac:dyDescent="0.25">
      <c r="B33" s="342" t="str">
        <f>IF(H28='Drop Box Names'!B29,"Enter the total purchasing and shipping cost for "&amp;H30&amp;" chicks:","Enter the total purchasing and shipping cost for "&amp;H30&amp;" pullets:")</f>
        <v>Enter the total purchasing and shipping cost for 60 chicks:</v>
      </c>
      <c r="C33" s="342"/>
      <c r="D33" s="342"/>
      <c r="E33" s="342"/>
      <c r="F33" s="342"/>
      <c r="G33" s="342"/>
      <c r="H33" s="268">
        <v>150</v>
      </c>
      <c r="I33" s="268">
        <v>850</v>
      </c>
      <c r="K33" s="218" t="s">
        <v>438</v>
      </c>
    </row>
    <row r="34" spans="2:15" ht="12.75" customHeight="1" x14ac:dyDescent="0.25">
      <c r="B34" s="342" t="str">
        <f>IF(H28='Drop Box Names'!B29,"     Total cost per chick:","     Total cost per pullet:")</f>
        <v xml:space="preserve">     Total cost per chick:</v>
      </c>
      <c r="C34" s="342"/>
      <c r="D34" s="342"/>
      <c r="E34" s="342"/>
      <c r="F34" s="342"/>
      <c r="G34" s="342"/>
      <c r="H34" s="296">
        <f>H33/H30</f>
        <v>2.5</v>
      </c>
      <c r="I34" s="302">
        <f>I33/H30</f>
        <v>14.166666666666666</v>
      </c>
      <c r="K34" s="223" t="s">
        <v>432</v>
      </c>
    </row>
    <row r="35" spans="2:15" ht="4.5" customHeight="1" x14ac:dyDescent="0.25">
      <c r="B35" s="323"/>
      <c r="C35" s="324"/>
      <c r="D35" s="324"/>
      <c r="E35" s="324"/>
      <c r="F35" s="324"/>
      <c r="G35" s="324"/>
      <c r="H35" s="324"/>
      <c r="I35" s="325"/>
      <c r="K35" s="47"/>
      <c r="L35" s="46"/>
      <c r="M35" s="46"/>
      <c r="N35" s="45"/>
    </row>
    <row r="36" spans="2:15" ht="12.75" customHeight="1" x14ac:dyDescent="0.25">
      <c r="B36" s="333" t="s">
        <v>310</v>
      </c>
      <c r="C36" s="333"/>
      <c r="D36" s="333"/>
      <c r="E36" s="333"/>
      <c r="F36" s="333"/>
      <c r="G36" s="333"/>
      <c r="H36" s="340" t="s">
        <v>107</v>
      </c>
      <c r="I36" s="340"/>
      <c r="K36" s="47" t="s">
        <v>415</v>
      </c>
    </row>
    <row r="37" spans="2:15" ht="12.75" customHeight="1" x14ac:dyDescent="0.25">
      <c r="B37" s="333" t="s">
        <v>439</v>
      </c>
      <c r="C37" s="333"/>
      <c r="D37" s="333"/>
      <c r="E37" s="333"/>
      <c r="F37" s="333"/>
      <c r="G37" s="333"/>
      <c r="H37" s="346" t="s">
        <v>45</v>
      </c>
      <c r="I37" s="346"/>
      <c r="K37" s="47" t="str">
        <f>IF(H37='Drop Box Names'!B13,"A hoop house is typically made from a wooden frame and cattle panels.", "A chicken tractor is a coop like structure built onto an axle. ")</f>
        <v>A hoop house is typically made from a wooden frame and cattle panels.</v>
      </c>
    </row>
    <row r="38" spans="2:15" ht="4.5" customHeight="1" x14ac:dyDescent="0.25">
      <c r="B38" s="323"/>
      <c r="C38" s="324"/>
      <c r="D38" s="324"/>
      <c r="E38" s="324"/>
      <c r="F38" s="324"/>
      <c r="G38" s="324"/>
      <c r="H38" s="324"/>
      <c r="I38" s="325"/>
      <c r="K38" s="47"/>
    </row>
    <row r="39" spans="2:15" ht="12.75" customHeight="1" x14ac:dyDescent="0.25">
      <c r="B39" s="342" t="s">
        <v>311</v>
      </c>
      <c r="C39" s="342"/>
      <c r="D39" s="342"/>
      <c r="E39" s="342"/>
      <c r="F39" s="342"/>
      <c r="G39" s="342"/>
      <c r="H39" s="346" t="s">
        <v>95</v>
      </c>
      <c r="I39" s="346"/>
      <c r="K39" s="216"/>
      <c r="L39" s="18"/>
      <c r="M39" s="18"/>
      <c r="N39" s="18"/>
    </row>
    <row r="40" spans="2:15" ht="4.5" customHeight="1" x14ac:dyDescent="0.25">
      <c r="B40" s="330"/>
      <c r="C40" s="331"/>
      <c r="D40" s="331"/>
      <c r="E40" s="331"/>
      <c r="F40" s="331"/>
      <c r="G40" s="331"/>
      <c r="H40" s="331"/>
      <c r="I40" s="332"/>
      <c r="J40" s="46"/>
      <c r="K40" s="217"/>
      <c r="M40" s="49"/>
      <c r="O40" s="50"/>
    </row>
    <row r="41" spans="2:15" ht="12.75" customHeight="1" x14ac:dyDescent="0.25">
      <c r="B41" s="333" t="s">
        <v>313</v>
      </c>
      <c r="C41" s="333"/>
      <c r="D41" s="333"/>
      <c r="E41" s="333"/>
      <c r="F41" s="333"/>
      <c r="G41" s="333"/>
      <c r="H41" s="340" t="s">
        <v>132</v>
      </c>
      <c r="I41" s="340"/>
      <c r="J41" s="52"/>
      <c r="K41" s="219"/>
    </row>
    <row r="42" spans="2:15" ht="12.75" customHeight="1" x14ac:dyDescent="0.25">
      <c r="B42" s="333" t="str">
        <f>IF(H41='Drop Box Names'!B41,"     Enter the price of feed per bag:","     Enter the price of feed per ton:")</f>
        <v xml:space="preserve">     Enter the price of feed per ton:</v>
      </c>
      <c r="C42" s="333"/>
      <c r="D42" s="333"/>
      <c r="E42" s="333"/>
      <c r="F42" s="333"/>
      <c r="G42" s="333"/>
      <c r="H42" s="242">
        <v>13.5</v>
      </c>
      <c r="I42" s="242">
        <v>600</v>
      </c>
      <c r="J42" s="53">
        <f>IF(H41='Drop Box Names'!B41,H42/H43,I42/2000)</f>
        <v>0.3</v>
      </c>
      <c r="K42" s="220" t="s">
        <v>417</v>
      </c>
    </row>
    <row r="43" spans="2:15" ht="12.75" customHeight="1" x14ac:dyDescent="0.25">
      <c r="B43" s="333" t="s">
        <v>440</v>
      </c>
      <c r="C43" s="333"/>
      <c r="D43" s="333"/>
      <c r="E43" s="333"/>
      <c r="F43" s="333"/>
      <c r="G43" s="333"/>
      <c r="H43" s="243">
        <v>50</v>
      </c>
      <c r="I43" s="91"/>
      <c r="J43" s="54"/>
      <c r="K43" s="220"/>
    </row>
    <row r="44" spans="2:15" ht="4.5" customHeight="1" x14ac:dyDescent="0.25">
      <c r="B44" s="263"/>
      <c r="C44" s="264"/>
      <c r="D44" s="264"/>
      <c r="E44" s="264"/>
      <c r="F44" s="264"/>
      <c r="G44" s="264"/>
      <c r="H44" s="266"/>
      <c r="I44" s="267"/>
      <c r="J44" s="54"/>
      <c r="K44" s="220"/>
    </row>
    <row r="45" spans="2:15" ht="12.75" customHeight="1" x14ac:dyDescent="0.25">
      <c r="B45" s="350" t="s">
        <v>487</v>
      </c>
      <c r="C45" s="351"/>
      <c r="D45" s="351"/>
      <c r="E45" s="351"/>
      <c r="F45" s="351"/>
      <c r="G45" s="351"/>
      <c r="H45" s="304">
        <v>200</v>
      </c>
      <c r="I45" s="267"/>
      <c r="J45" s="54"/>
      <c r="K45" s="220"/>
    </row>
    <row r="46" spans="2:15" ht="4.5" customHeight="1" x14ac:dyDescent="0.25">
      <c r="B46" s="330"/>
      <c r="C46" s="331"/>
      <c r="D46" s="331"/>
      <c r="E46" s="331"/>
      <c r="F46" s="331"/>
      <c r="G46" s="331"/>
      <c r="H46" s="331"/>
      <c r="I46" s="332"/>
      <c r="K46" s="47"/>
    </row>
    <row r="47" spans="2:15" ht="12.75" customHeight="1" x14ac:dyDescent="0.25">
      <c r="B47" s="347" t="s">
        <v>393</v>
      </c>
      <c r="C47" s="348"/>
      <c r="D47" s="348"/>
      <c r="E47" s="348"/>
      <c r="F47" s="348"/>
      <c r="G47" s="349"/>
      <c r="H47" s="359" t="s">
        <v>433</v>
      </c>
      <c r="I47" s="359"/>
      <c r="K47" s="47"/>
      <c r="L47" s="261"/>
    </row>
    <row r="48" spans="2:15" x14ac:dyDescent="0.25">
      <c r="B48" s="330"/>
      <c r="C48" s="331"/>
      <c r="D48" s="331"/>
      <c r="E48" s="331"/>
      <c r="F48" s="331"/>
      <c r="G48" s="332"/>
      <c r="H48" s="188" t="s">
        <v>386</v>
      </c>
      <c r="I48" s="188" t="s">
        <v>433</v>
      </c>
      <c r="K48" s="47"/>
    </row>
    <row r="49" spans="2:14" x14ac:dyDescent="0.25">
      <c r="B49" s="347" t="s">
        <v>445</v>
      </c>
      <c r="C49" s="348"/>
      <c r="D49" s="348"/>
      <c r="E49" s="348"/>
      <c r="F49" s="348"/>
      <c r="G49" s="348"/>
      <c r="H49" s="240">
        <v>16</v>
      </c>
      <c r="I49" s="252">
        <f>'Egg Production, Feed Intake'!E32/'Egg Production, Feed Intake'!E27</f>
        <v>14.368421052631579</v>
      </c>
      <c r="K49" s="47" t="s">
        <v>396</v>
      </c>
    </row>
    <row r="50" spans="2:14" x14ac:dyDescent="0.25">
      <c r="B50" s="347" t="s">
        <v>556</v>
      </c>
      <c r="C50" s="348"/>
      <c r="D50" s="348"/>
      <c r="E50" s="348"/>
      <c r="F50" s="348"/>
      <c r="G50" s="348"/>
      <c r="H50" s="250">
        <v>90</v>
      </c>
      <c r="I50" s="253">
        <f>'Egg Production, Feed Intake'!I39/'Egg Production, Feed Intake'!E39</f>
        <v>83.037499999999994</v>
      </c>
      <c r="K50" s="47" t="s">
        <v>395</v>
      </c>
    </row>
    <row r="51" spans="2:14" hidden="1" x14ac:dyDescent="0.25">
      <c r="B51" s="347" t="str">
        <f>IF(H41='Drop Box Names'!B41,"     Total bags of feed consumed per flock:","     Total tons of feed consumed per flock:")</f>
        <v xml:space="preserve">     Total tons of feed consumed per flock:</v>
      </c>
      <c r="C51" s="348"/>
      <c r="D51" s="348"/>
      <c r="E51" s="348"/>
      <c r="F51" s="348"/>
      <c r="G51" s="348"/>
      <c r="H51" s="312">
        <f>IF(H41='Drop Box Names'!B41,(H49+H50)*H31/H43,(H49+H50)*H31/2000)</f>
        <v>3.0209999999999999</v>
      </c>
      <c r="I51" s="301"/>
      <c r="K51" s="311" t="s">
        <v>557</v>
      </c>
      <c r="L51" s="281"/>
    </row>
    <row r="52" spans="2:14" x14ac:dyDescent="0.25">
      <c r="B52" s="292"/>
      <c r="C52" s="293"/>
      <c r="D52" s="293"/>
      <c r="E52" s="293"/>
      <c r="F52" s="293"/>
      <c r="G52" s="293"/>
      <c r="H52" s="300"/>
      <c r="I52" s="301"/>
      <c r="K52" s="47"/>
    </row>
    <row r="53" spans="2:14" ht="4.5" customHeight="1" x14ac:dyDescent="0.25">
      <c r="B53" s="185"/>
      <c r="C53" s="186"/>
      <c r="D53" s="186"/>
      <c r="E53" s="186"/>
      <c r="F53" s="186"/>
      <c r="G53" s="186"/>
      <c r="H53" s="186"/>
      <c r="I53" s="187"/>
      <c r="K53" s="47"/>
    </row>
    <row r="54" spans="2:14" ht="12.75" customHeight="1" x14ac:dyDescent="0.25">
      <c r="B54" s="333" t="s">
        <v>314</v>
      </c>
      <c r="C54" s="333"/>
      <c r="D54" s="333"/>
      <c r="E54" s="333"/>
      <c r="F54" s="333"/>
      <c r="G54" s="333"/>
      <c r="H54" s="340" t="s">
        <v>433</v>
      </c>
      <c r="I54" s="340"/>
      <c r="J54" s="55"/>
      <c r="K54" s="220" t="s">
        <v>401</v>
      </c>
    </row>
    <row r="55" spans="2:14" ht="12.75" customHeight="1" x14ac:dyDescent="0.2">
      <c r="B55" s="333" t="s">
        <v>441</v>
      </c>
      <c r="C55" s="333"/>
      <c r="D55" s="333"/>
      <c r="E55" s="333"/>
      <c r="F55" s="333"/>
      <c r="G55" s="333"/>
      <c r="H55" s="340" t="s">
        <v>124</v>
      </c>
      <c r="I55" s="340"/>
      <c r="J55" s="56"/>
      <c r="K55" s="221" t="s">
        <v>402</v>
      </c>
    </row>
    <row r="56" spans="2:14" ht="12.75" customHeight="1" x14ac:dyDescent="0.25">
      <c r="B56" s="333" t="str">
        <f>IF(H54='Drop Box Names'!B32,"     Based on breed type and access to fresh pasture, forage replacement is:","     Enter the forage replacement as a percentage of the diet:")</f>
        <v xml:space="preserve">     Based on breed type and access to fresh pasture, forage replacement is:</v>
      </c>
      <c r="C56" s="333"/>
      <c r="D56" s="333"/>
      <c r="E56" s="333"/>
      <c r="F56" s="333"/>
      <c r="G56" s="333"/>
      <c r="H56" s="244">
        <v>0.1</v>
      </c>
      <c r="I56" s="256">
        <f>IF(H55='Drop Box Names'!B46,IF(C114='Drop Box Names'!B58,C100,C99),IF(H55='Drop Box Names'!B47,IF(C114='Drop Box Names'!B58,D100,D99),IF(H55='Drop Box Names'!B48,IF(C114='Drop Box Names'!B58,'Production Data'!E100,'Production Data'!E99),0)))</f>
        <v>0.05</v>
      </c>
      <c r="K56" s="220" t="s">
        <v>243</v>
      </c>
      <c r="N56" s="57"/>
    </row>
    <row r="57" spans="2:14" ht="4.5" customHeight="1" x14ac:dyDescent="0.25">
      <c r="B57" s="323"/>
      <c r="C57" s="324"/>
      <c r="D57" s="324"/>
      <c r="E57" s="324"/>
      <c r="F57" s="324"/>
      <c r="G57" s="324"/>
      <c r="H57" s="324"/>
      <c r="I57" s="325"/>
      <c r="J57" s="55"/>
      <c r="K57" s="47"/>
    </row>
    <row r="58" spans="2:14" ht="12.75" customHeight="1" x14ac:dyDescent="0.25">
      <c r="B58" s="333" t="s">
        <v>403</v>
      </c>
      <c r="C58" s="333"/>
      <c r="D58" s="333"/>
      <c r="E58" s="333"/>
      <c r="F58" s="333"/>
      <c r="G58" s="333"/>
      <c r="H58" s="340" t="s">
        <v>69</v>
      </c>
      <c r="I58" s="340"/>
      <c r="K58" s="47" t="s">
        <v>409</v>
      </c>
    </row>
    <row r="59" spans="2:14" ht="4.5" customHeight="1" x14ac:dyDescent="0.25">
      <c r="B59" s="323"/>
      <c r="C59" s="324"/>
      <c r="D59" s="324"/>
      <c r="E59" s="324"/>
      <c r="F59" s="324"/>
      <c r="G59" s="324"/>
      <c r="H59" s="324"/>
      <c r="I59" s="325"/>
      <c r="K59" s="47"/>
    </row>
    <row r="60" spans="2:14" ht="12.75" customHeight="1" x14ac:dyDescent="0.25">
      <c r="B60" s="333" t="s">
        <v>357</v>
      </c>
      <c r="C60" s="333"/>
      <c r="D60" s="333"/>
      <c r="E60" s="333"/>
      <c r="F60" s="333"/>
      <c r="G60" s="333"/>
      <c r="H60" s="340" t="s">
        <v>433</v>
      </c>
      <c r="I60" s="340"/>
      <c r="K60" s="47" t="s">
        <v>397</v>
      </c>
    </row>
    <row r="61" spans="2:14" ht="12.75" customHeight="1" x14ac:dyDescent="0.25">
      <c r="B61" s="333" t="str">
        <f>IF(H60='Drop Box Names'!B32,"     Based on experience level and breed the estimated mortality rate is:","     Enter the mortality rate here:")</f>
        <v xml:space="preserve">     Based on experience level and breed the estimated mortality rate is:</v>
      </c>
      <c r="C61" s="333"/>
      <c r="D61" s="333"/>
      <c r="E61" s="333"/>
      <c r="F61" s="333"/>
      <c r="G61" s="333"/>
      <c r="H61" s="241">
        <v>0.1</v>
      </c>
      <c r="I61" s="254">
        <f>IF(H58='Drop Box Names'!B36,IF(C114='Drop Box Names'!B58,N81,N80),IF(H58='Drop Box Names'!B37,IF(C114='Drop Box Names'!B58,O81,O80),IF(H58='Drop Box Names'!B38,IF(C114='Drop Box Names'!B58,P81,P80))))</f>
        <v>0.05</v>
      </c>
      <c r="K61" s="47" t="s">
        <v>241</v>
      </c>
    </row>
    <row r="62" spans="2:14" ht="12.75" customHeight="1" x14ac:dyDescent="0.25">
      <c r="B62" s="333" t="s">
        <v>544</v>
      </c>
      <c r="C62" s="333"/>
      <c r="D62" s="333"/>
      <c r="E62" s="333"/>
      <c r="F62" s="333"/>
      <c r="G62" s="333"/>
      <c r="H62" s="316">
        <f>IF(H60='Drop Box Names'!B33,H30*H61,H30*I61)</f>
        <v>3</v>
      </c>
      <c r="I62" s="254"/>
      <c r="K62" s="47"/>
    </row>
    <row r="63" spans="2:14" ht="4.5" customHeight="1" x14ac:dyDescent="0.25">
      <c r="B63" s="326"/>
      <c r="C63" s="326"/>
      <c r="D63" s="326"/>
      <c r="E63" s="326"/>
      <c r="F63" s="326"/>
      <c r="G63" s="326"/>
      <c r="H63" s="326"/>
      <c r="I63" s="326"/>
      <c r="K63" s="47"/>
    </row>
    <row r="64" spans="2:14" ht="12.75" customHeight="1" x14ac:dyDescent="0.25">
      <c r="B64" s="333" t="s">
        <v>358</v>
      </c>
      <c r="C64" s="333"/>
      <c r="D64" s="333"/>
      <c r="E64" s="333"/>
      <c r="F64" s="333"/>
      <c r="G64" s="333"/>
      <c r="H64" s="340" t="s">
        <v>433</v>
      </c>
      <c r="I64" s="340"/>
      <c r="K64" s="47" t="s">
        <v>233</v>
      </c>
    </row>
    <row r="65" spans="2:16" ht="12.75" customHeight="1" x14ac:dyDescent="0.25">
      <c r="B65" s="350" t="str">
        <f>IF(H64='Drop Box Names'!B32,"     Based on expereince and breed the estimated mortality rate for Year 1 is:","     Enter the mortality rate for Year 1:")</f>
        <v xml:space="preserve">     Based on expereince and breed the estimated mortality rate for Year 1 is:</v>
      </c>
      <c r="C65" s="351"/>
      <c r="D65" s="351"/>
      <c r="E65" s="351"/>
      <c r="F65" s="351"/>
      <c r="G65" s="358"/>
      <c r="H65" s="241">
        <v>0.05</v>
      </c>
      <c r="I65" s="255">
        <f>IF(C114='Drop Box Names'!B59,IF(H58='Drop Box Names'!B36,C92,IF(H58='Drop Box Names'!B37,F92,I92)),IF(C114='Drop Box Names'!B58,IF(H58='Drop Box Names'!B36,C93,IF(H58='Drop Box Names'!B37,F93,I93))))</f>
        <v>0.05</v>
      </c>
      <c r="K65" s="47" t="s">
        <v>242</v>
      </c>
    </row>
    <row r="66" spans="2:16" ht="12.75" customHeight="1" x14ac:dyDescent="0.25">
      <c r="B66" s="333" t="s">
        <v>563</v>
      </c>
      <c r="C66" s="333"/>
      <c r="D66" s="333"/>
      <c r="E66" s="333"/>
      <c r="F66" s="333"/>
      <c r="G66" s="333"/>
      <c r="H66" s="316">
        <f>IF(H64='Drop Box Names'!B33,H31*H65,H31*I65)</f>
        <v>2.85</v>
      </c>
      <c r="I66" s="255"/>
      <c r="K66" s="47"/>
    </row>
    <row r="67" spans="2:16" ht="4.5" customHeight="1" x14ac:dyDescent="0.25">
      <c r="B67" s="323"/>
      <c r="C67" s="324"/>
      <c r="D67" s="324"/>
      <c r="E67" s="324"/>
      <c r="F67" s="324"/>
      <c r="G67" s="324"/>
      <c r="H67" s="324"/>
      <c r="I67" s="325"/>
      <c r="J67" s="55"/>
      <c r="K67" s="220"/>
    </row>
    <row r="68" spans="2:16" ht="12.75" customHeight="1" x14ac:dyDescent="0.25">
      <c r="B68" s="333" t="s">
        <v>315</v>
      </c>
      <c r="C68" s="333"/>
      <c r="D68" s="333"/>
      <c r="E68" s="333"/>
      <c r="F68" s="333"/>
      <c r="G68" s="333"/>
      <c r="H68" s="340" t="s">
        <v>0</v>
      </c>
      <c r="I68" s="340"/>
      <c r="K68" s="47"/>
    </row>
    <row r="69" spans="2:16" ht="12.75" customHeight="1" x14ac:dyDescent="0.25">
      <c r="B69" s="333" t="str">
        <f>"     If you answered "&amp;'Drop Box Names'!B43&amp;" please enter your hourly wage:"</f>
        <v xml:space="preserve">     If you answered Yes please enter your hourly wage:</v>
      </c>
      <c r="C69" s="333"/>
      <c r="D69" s="333"/>
      <c r="E69" s="333"/>
      <c r="F69" s="333"/>
      <c r="G69" s="333"/>
      <c r="H69" s="245">
        <v>10</v>
      </c>
      <c r="I69" s="138"/>
      <c r="K69" s="47" t="s">
        <v>438</v>
      </c>
    </row>
    <row r="70" spans="2:16" ht="12.75" customHeight="1" x14ac:dyDescent="0.25">
      <c r="B70" s="350" t="s">
        <v>442</v>
      </c>
      <c r="C70" s="351"/>
      <c r="D70" s="351"/>
      <c r="E70" s="351"/>
      <c r="F70" s="351"/>
      <c r="G70" s="358"/>
      <c r="H70" s="250">
        <v>20</v>
      </c>
      <c r="I70" s="138" t="s">
        <v>346</v>
      </c>
      <c r="K70" s="47"/>
    </row>
    <row r="71" spans="2:16" ht="12.75" customHeight="1" x14ac:dyDescent="0.25">
      <c r="B71" s="333" t="s">
        <v>443</v>
      </c>
      <c r="C71" s="333"/>
      <c r="D71" s="333"/>
      <c r="E71" s="333"/>
      <c r="F71" s="333"/>
      <c r="G71" s="333"/>
      <c r="H71" s="243">
        <v>20</v>
      </c>
      <c r="I71" s="138" t="s">
        <v>346</v>
      </c>
      <c r="K71" s="47"/>
    </row>
    <row r="72" spans="2:16" ht="12.75" customHeight="1" x14ac:dyDescent="0.25">
      <c r="B72" s="333" t="s">
        <v>444</v>
      </c>
      <c r="C72" s="333"/>
      <c r="D72" s="333"/>
      <c r="E72" s="333"/>
      <c r="F72" s="333"/>
      <c r="G72" s="333"/>
      <c r="H72" s="240">
        <v>10</v>
      </c>
      <c r="I72" s="138" t="s">
        <v>347</v>
      </c>
    </row>
    <row r="73" spans="2:16" ht="4.5" customHeight="1" x14ac:dyDescent="0.25">
      <c r="B73" s="323"/>
      <c r="C73" s="324"/>
      <c r="D73" s="324"/>
      <c r="E73" s="324"/>
      <c r="F73" s="324"/>
      <c r="G73" s="324"/>
      <c r="H73" s="324"/>
      <c r="I73" s="325"/>
      <c r="K73" s="47"/>
    </row>
    <row r="74" spans="2:16" ht="12.75" customHeight="1" x14ac:dyDescent="0.25">
      <c r="B74" s="333" t="str">
        <f>"Enter the cost per carton here ("&amp;C129&amp;" dozen):"</f>
        <v>Enter the cost per carton here (1100 dozen):</v>
      </c>
      <c r="C74" s="333"/>
      <c r="D74" s="333"/>
      <c r="E74" s="333"/>
      <c r="F74" s="333"/>
      <c r="G74" s="333"/>
      <c r="H74" s="239">
        <v>0.4</v>
      </c>
      <c r="I74" s="224">
        <f>H74*Summary!$E$16</f>
        <v>439.96875</v>
      </c>
      <c r="K74" s="47" t="s">
        <v>411</v>
      </c>
    </row>
    <row r="75" spans="2:16" ht="12.75" customHeight="1" x14ac:dyDescent="0.25">
      <c r="B75" s="333" t="str">
        <f>"Enter the cost per label here ("&amp;C129&amp;" dozen):"</f>
        <v>Enter the cost per label here (1100 dozen):</v>
      </c>
      <c r="C75" s="333"/>
      <c r="D75" s="333"/>
      <c r="E75" s="333"/>
      <c r="F75" s="333"/>
      <c r="G75" s="333"/>
      <c r="H75" s="239">
        <v>0.03</v>
      </c>
      <c r="I75" s="224">
        <f>H75*Summary!$E$16</f>
        <v>32.997656249999999</v>
      </c>
      <c r="K75" s="47" t="s">
        <v>412</v>
      </c>
    </row>
    <row r="76" spans="2:16" ht="12.75" customHeight="1" x14ac:dyDescent="0.25">
      <c r="H76" s="46"/>
      <c r="I76" s="46"/>
    </row>
    <row r="77" spans="2:16" ht="12.75" customHeight="1" x14ac:dyDescent="0.25"/>
    <row r="78" spans="2:16" ht="12.75" customHeight="1" x14ac:dyDescent="0.25">
      <c r="B78" s="363" t="s">
        <v>279</v>
      </c>
      <c r="C78" s="363"/>
      <c r="D78" s="363"/>
      <c r="E78" s="363"/>
      <c r="F78" s="363"/>
      <c r="H78" s="363" t="s">
        <v>280</v>
      </c>
      <c r="I78" s="363"/>
      <c r="J78" s="363"/>
      <c r="K78" s="363"/>
      <c r="M78" s="353" t="s">
        <v>282</v>
      </c>
      <c r="N78" s="354"/>
      <c r="O78" s="354"/>
      <c r="P78" s="355"/>
    </row>
    <row r="79" spans="2:16" ht="27" customHeight="1" x14ac:dyDescent="0.25">
      <c r="B79" s="333" t="s">
        <v>16</v>
      </c>
      <c r="C79" s="333"/>
      <c r="D79" s="132" t="s">
        <v>78</v>
      </c>
      <c r="E79" s="132" t="s">
        <v>73</v>
      </c>
      <c r="F79" s="132" t="s">
        <v>360</v>
      </c>
      <c r="H79" s="132" t="s">
        <v>18</v>
      </c>
      <c r="I79" s="170" t="s">
        <v>101</v>
      </c>
      <c r="J79" s="356" t="s">
        <v>99</v>
      </c>
      <c r="K79" s="356"/>
      <c r="M79" s="58"/>
      <c r="N79" s="165" t="s">
        <v>1</v>
      </c>
      <c r="O79" s="165" t="s">
        <v>69</v>
      </c>
      <c r="P79" s="165" t="s">
        <v>70</v>
      </c>
    </row>
    <row r="80" spans="2:16" ht="12.75" customHeight="1" x14ac:dyDescent="0.25">
      <c r="B80" s="333" t="s">
        <v>250</v>
      </c>
      <c r="C80" s="333"/>
      <c r="D80" s="136" t="s">
        <v>205</v>
      </c>
      <c r="E80" s="136" t="s">
        <v>254</v>
      </c>
      <c r="F80" s="124">
        <v>6.5</v>
      </c>
      <c r="H80" s="136" t="s">
        <v>93</v>
      </c>
      <c r="I80" s="59">
        <v>1</v>
      </c>
      <c r="J80" s="365">
        <f>H7</f>
        <v>250</v>
      </c>
      <c r="K80" s="365"/>
      <c r="M80" s="58" t="s">
        <v>71</v>
      </c>
      <c r="N80" s="60">
        <v>0.15</v>
      </c>
      <c r="O80" s="60">
        <v>0.1</v>
      </c>
      <c r="P80" s="60">
        <v>0.05</v>
      </c>
    </row>
    <row r="81" spans="2:16" ht="12.75" customHeight="1" x14ac:dyDescent="0.25">
      <c r="B81" s="333" t="s">
        <v>249</v>
      </c>
      <c r="C81" s="333"/>
      <c r="D81" s="136" t="s">
        <v>259</v>
      </c>
      <c r="E81" s="136" t="s">
        <v>260</v>
      </c>
      <c r="F81" s="124">
        <v>7.5</v>
      </c>
      <c r="H81" s="136" t="s">
        <v>92</v>
      </c>
      <c r="I81" s="59">
        <v>0.85</v>
      </c>
      <c r="J81" s="364">
        <f>J80*I81</f>
        <v>212.5</v>
      </c>
      <c r="K81" s="364"/>
      <c r="M81" s="142" t="s">
        <v>72</v>
      </c>
      <c r="N81" s="62">
        <v>0.1</v>
      </c>
      <c r="O81" s="62">
        <v>0.05</v>
      </c>
      <c r="P81" s="63">
        <v>2.5000000000000001E-2</v>
      </c>
    </row>
    <row r="82" spans="2:16" ht="12.75" customHeight="1" x14ac:dyDescent="0.25">
      <c r="B82" s="333" t="s">
        <v>251</v>
      </c>
      <c r="C82" s="333"/>
      <c r="D82" s="136" t="s">
        <v>258</v>
      </c>
      <c r="E82" s="136" t="s">
        <v>254</v>
      </c>
      <c r="F82" s="124">
        <v>6</v>
      </c>
      <c r="H82" s="136" t="s">
        <v>91</v>
      </c>
      <c r="I82" s="59">
        <v>0.68</v>
      </c>
      <c r="J82" s="364">
        <f>J80*I82</f>
        <v>170</v>
      </c>
      <c r="K82" s="364"/>
      <c r="M82" s="352" t="s">
        <v>398</v>
      </c>
      <c r="N82" s="352"/>
      <c r="O82" s="352"/>
      <c r="P82" s="352"/>
    </row>
    <row r="83" spans="2:16" ht="12.75" customHeight="1" x14ac:dyDescent="0.25">
      <c r="B83" s="333" t="s">
        <v>252</v>
      </c>
      <c r="C83" s="333"/>
      <c r="D83" s="136" t="s">
        <v>258</v>
      </c>
      <c r="E83" s="136" t="s">
        <v>253</v>
      </c>
      <c r="F83" s="124">
        <v>4.4000000000000004</v>
      </c>
      <c r="H83" s="352" t="s">
        <v>392</v>
      </c>
      <c r="I83" s="352"/>
      <c r="J83" s="352"/>
      <c r="K83" s="352"/>
      <c r="M83" s="352"/>
      <c r="N83" s="352"/>
      <c r="O83" s="352"/>
      <c r="P83" s="352"/>
    </row>
    <row r="84" spans="2:16" ht="12.75" customHeight="1" x14ac:dyDescent="0.25">
      <c r="B84" s="333" t="s">
        <v>79</v>
      </c>
      <c r="C84" s="333"/>
      <c r="D84" s="136" t="s">
        <v>205</v>
      </c>
      <c r="E84" s="136" t="s">
        <v>254</v>
      </c>
      <c r="F84" s="124">
        <v>6</v>
      </c>
      <c r="H84" s="352"/>
      <c r="I84" s="352"/>
      <c r="J84" s="352"/>
      <c r="K84" s="352"/>
    </row>
    <row r="85" spans="2:16" ht="12.75" customHeight="1" x14ac:dyDescent="0.25">
      <c r="B85" s="333" t="s">
        <v>84</v>
      </c>
      <c r="C85" s="333"/>
      <c r="D85" s="136" t="s">
        <v>265</v>
      </c>
      <c r="E85" s="136" t="s">
        <v>266</v>
      </c>
      <c r="F85" s="124">
        <v>4.5</v>
      </c>
      <c r="H85" s="352"/>
      <c r="I85" s="352"/>
      <c r="J85" s="352"/>
      <c r="K85" s="352"/>
    </row>
    <row r="86" spans="2:16" ht="12.75" customHeight="1" x14ac:dyDescent="0.25">
      <c r="B86" s="357"/>
      <c r="C86" s="357"/>
      <c r="D86" s="357"/>
      <c r="E86" s="357"/>
      <c r="F86" s="357"/>
    </row>
    <row r="87" spans="2:16" ht="12.75" customHeight="1" x14ac:dyDescent="0.25">
      <c r="B87" s="47"/>
      <c r="C87" s="47"/>
      <c r="D87" s="47"/>
      <c r="E87" s="47"/>
      <c r="F87" s="47"/>
      <c r="H87" s="65"/>
      <c r="I87" s="65"/>
      <c r="J87" s="65"/>
      <c r="M87" s="66"/>
    </row>
    <row r="88" spans="2:16" ht="12.75" customHeight="1" x14ac:dyDescent="0.25"/>
    <row r="89" spans="2:16" ht="12.75" customHeight="1" x14ac:dyDescent="0.25">
      <c r="B89" s="353" t="s">
        <v>283</v>
      </c>
      <c r="C89" s="354"/>
      <c r="D89" s="354"/>
      <c r="E89" s="354"/>
      <c r="F89" s="354"/>
      <c r="G89" s="354"/>
      <c r="H89" s="354"/>
      <c r="I89" s="354"/>
      <c r="J89" s="354"/>
      <c r="K89" s="355"/>
      <c r="M89" s="209"/>
    </row>
    <row r="90" spans="2:16" ht="12.75" customHeight="1" x14ac:dyDescent="0.25">
      <c r="B90" s="67"/>
      <c r="C90" s="371" t="s">
        <v>1</v>
      </c>
      <c r="D90" s="371"/>
      <c r="E90" s="372"/>
      <c r="F90" s="367" t="s">
        <v>69</v>
      </c>
      <c r="G90" s="368"/>
      <c r="H90" s="369"/>
      <c r="I90" s="367" t="s">
        <v>70</v>
      </c>
      <c r="J90" s="368"/>
      <c r="K90" s="370"/>
    </row>
    <row r="91" spans="2:16" ht="12.75" customHeight="1" x14ac:dyDescent="0.25">
      <c r="B91" s="67"/>
      <c r="C91" s="166" t="s">
        <v>93</v>
      </c>
      <c r="D91" s="166" t="s">
        <v>92</v>
      </c>
      <c r="E91" s="167" t="s">
        <v>91</v>
      </c>
      <c r="F91" s="165" t="s">
        <v>93</v>
      </c>
      <c r="G91" s="166" t="s">
        <v>92</v>
      </c>
      <c r="H91" s="167" t="s">
        <v>91</v>
      </c>
      <c r="I91" s="168" t="s">
        <v>93</v>
      </c>
      <c r="J91" s="166" t="s">
        <v>92</v>
      </c>
      <c r="K91" s="166" t="s">
        <v>91</v>
      </c>
    </row>
    <row r="92" spans="2:16" ht="12.75" customHeight="1" x14ac:dyDescent="0.25">
      <c r="B92" s="67" t="s">
        <v>71</v>
      </c>
      <c r="C92" s="68">
        <v>0.1</v>
      </c>
      <c r="D92" s="68">
        <v>0.15</v>
      </c>
      <c r="E92" s="69">
        <v>0.2</v>
      </c>
      <c r="F92" s="70">
        <v>7.4999999999999997E-2</v>
      </c>
      <c r="G92" s="68">
        <v>0.1</v>
      </c>
      <c r="H92" s="69">
        <v>0.15</v>
      </c>
      <c r="I92" s="71">
        <v>0.05</v>
      </c>
      <c r="J92" s="72">
        <v>7.4999999999999997E-2</v>
      </c>
      <c r="K92" s="72">
        <v>0.1</v>
      </c>
    </row>
    <row r="93" spans="2:16" ht="12.75" customHeight="1" x14ac:dyDescent="0.25">
      <c r="B93" s="145" t="s">
        <v>72</v>
      </c>
      <c r="C93" s="73">
        <v>7.4999999999999997E-2</v>
      </c>
      <c r="D93" s="73">
        <v>0.1</v>
      </c>
      <c r="E93" s="74">
        <v>0.15</v>
      </c>
      <c r="F93" s="63">
        <v>0.05</v>
      </c>
      <c r="G93" s="73">
        <v>7.4999999999999997E-2</v>
      </c>
      <c r="H93" s="74">
        <v>0.125</v>
      </c>
      <c r="I93" s="75">
        <v>2.5000000000000001E-2</v>
      </c>
      <c r="J93" s="72">
        <v>0.05</v>
      </c>
      <c r="K93" s="72">
        <v>7.4999999999999997E-2</v>
      </c>
    </row>
    <row r="94" spans="2:16" ht="12.75" customHeight="1" x14ac:dyDescent="0.25">
      <c r="B94" s="375" t="s">
        <v>399</v>
      </c>
      <c r="C94" s="376"/>
      <c r="D94" s="376"/>
      <c r="E94" s="376"/>
      <c r="F94" s="376"/>
      <c r="G94" s="376"/>
      <c r="H94" s="376"/>
      <c r="I94" s="376"/>
      <c r="J94" s="376"/>
      <c r="K94" s="377"/>
    </row>
    <row r="95" spans="2:16" ht="12.75" customHeight="1" x14ac:dyDescent="0.25">
      <c r="B95" s="76"/>
      <c r="C95" s="76"/>
      <c r="D95" s="76"/>
      <c r="E95" s="76"/>
      <c r="F95" s="76"/>
      <c r="G95" s="76"/>
      <c r="H95" s="76"/>
      <c r="I95" s="76"/>
      <c r="J95" s="76"/>
      <c r="K95" s="76"/>
    </row>
    <row r="96" spans="2:16" ht="12.75" customHeight="1" x14ac:dyDescent="0.25"/>
    <row r="97" spans="2:14" ht="12.75" customHeight="1" x14ac:dyDescent="0.25">
      <c r="B97" s="380" t="s">
        <v>281</v>
      </c>
      <c r="C97" s="381"/>
      <c r="D97" s="381"/>
      <c r="E97" s="382"/>
      <c r="G97" s="161"/>
      <c r="H97" s="161"/>
      <c r="I97" s="161"/>
      <c r="M97" s="66"/>
    </row>
    <row r="98" spans="2:14" ht="12.75" customHeight="1" x14ac:dyDescent="0.25">
      <c r="B98" s="72"/>
      <c r="C98" s="72" t="s">
        <v>123</v>
      </c>
      <c r="D98" s="72" t="s">
        <v>269</v>
      </c>
      <c r="E98" s="72" t="s">
        <v>124</v>
      </c>
      <c r="G98" s="190"/>
      <c r="H98" s="79"/>
      <c r="I98" s="190"/>
    </row>
    <row r="99" spans="2:14" ht="12.75" customHeight="1" x14ac:dyDescent="0.25">
      <c r="B99" s="169" t="s">
        <v>71</v>
      </c>
      <c r="C99" s="73">
        <v>7.4999999999999997E-2</v>
      </c>
      <c r="D99" s="73">
        <v>0.05</v>
      </c>
      <c r="E99" s="73">
        <v>2.5000000000000001E-2</v>
      </c>
      <c r="G99" s="79"/>
      <c r="H99" s="164"/>
      <c r="I99" s="164"/>
      <c r="N99" s="78"/>
    </row>
    <row r="100" spans="2:14" ht="12.75" customHeight="1" x14ac:dyDescent="0.25">
      <c r="B100" s="169" t="s">
        <v>72</v>
      </c>
      <c r="C100" s="73">
        <v>0.15</v>
      </c>
      <c r="D100" s="73">
        <v>0.1</v>
      </c>
      <c r="E100" s="73">
        <v>0.05</v>
      </c>
      <c r="G100" s="79"/>
      <c r="H100" s="164"/>
      <c r="I100" s="191"/>
    </row>
    <row r="101" spans="2:14" ht="12.75" customHeight="1" x14ac:dyDescent="0.25">
      <c r="B101" s="352" t="s">
        <v>398</v>
      </c>
      <c r="C101" s="352"/>
      <c r="D101" s="352"/>
      <c r="E101" s="352"/>
      <c r="G101" s="79"/>
      <c r="H101" s="164"/>
      <c r="I101" s="191"/>
    </row>
    <row r="102" spans="2:14" ht="12.75" customHeight="1" x14ac:dyDescent="0.25">
      <c r="B102" s="352"/>
      <c r="C102" s="352"/>
      <c r="D102" s="352"/>
      <c r="E102" s="352"/>
      <c r="F102" s="79"/>
      <c r="G102" s="79"/>
      <c r="H102" s="164"/>
      <c r="I102" s="191"/>
    </row>
    <row r="104" spans="2:14" x14ac:dyDescent="0.25">
      <c r="B104" s="79"/>
      <c r="I104" s="80"/>
    </row>
    <row r="110" spans="2:14" hidden="1" x14ac:dyDescent="0.25">
      <c r="K110" s="44" t="s">
        <v>484</v>
      </c>
    </row>
    <row r="111" spans="2:14" hidden="1" x14ac:dyDescent="0.25">
      <c r="K111" s="44" t="s">
        <v>485</v>
      </c>
    </row>
    <row r="112" spans="2:14" hidden="1" x14ac:dyDescent="0.25"/>
    <row r="113" spans="3:13" hidden="1" x14ac:dyDescent="0.25"/>
    <row r="114" spans="3:13" hidden="1" x14ac:dyDescent="0.25">
      <c r="C114" s="44" t="str">
        <f>IF(H4='Drop Box Names'!B21,'Drop Box Names'!B58,IF(H4='Drop Box Names'!B22,'Drop Box Names'!B58,IF(H4='Drop Box Names'!B23,'Drop Box Names'!B58,IF(H4='Drop Box Names'!B24,'Drop Box Names'!B59,IF(H4='Drop Box Names'!B25,'Drop Box Names'!B58,IF(H4='Drop Box Names'!B26,'Drop Box Names'!B59,0))))))</f>
        <v>Dual Purpose</v>
      </c>
    </row>
    <row r="115" spans="3:13" hidden="1" x14ac:dyDescent="0.25">
      <c r="C115" s="44" t="str">
        <f>IF(H4='Drop Box Names'!B26,'Drop Box Names'!B55,'Drop Box Names'!B54)</f>
        <v>Brown Eggs</v>
      </c>
    </row>
    <row r="116" spans="3:13" hidden="1" x14ac:dyDescent="0.25"/>
    <row r="117" spans="3:13" hidden="1" x14ac:dyDescent="0.25"/>
    <row r="118" spans="3:13" hidden="1" x14ac:dyDescent="0.25">
      <c r="C118" s="379" t="s">
        <v>304</v>
      </c>
      <c r="D118" s="379"/>
      <c r="E118" s="379"/>
      <c r="F118" s="379"/>
      <c r="G118" s="379"/>
      <c r="H118" s="379"/>
      <c r="M118" s="66"/>
    </row>
    <row r="119" spans="3:13" hidden="1" x14ac:dyDescent="0.25">
      <c r="C119" s="326" t="str">
        <f>'Drop Box Names'!B32</f>
        <v>Estimated</v>
      </c>
      <c r="D119" s="326"/>
      <c r="E119" s="378"/>
      <c r="F119" s="325" t="str">
        <f>'Drop Box Names'!B33</f>
        <v>My Own</v>
      </c>
      <c r="G119" s="326"/>
      <c r="H119" s="326"/>
      <c r="M119" s="66"/>
    </row>
    <row r="120" spans="3:13" hidden="1" x14ac:dyDescent="0.25">
      <c r="C120" s="136" t="s">
        <v>103</v>
      </c>
      <c r="D120" s="81" t="s">
        <v>104</v>
      </c>
      <c r="E120" s="82" t="s">
        <v>105</v>
      </c>
      <c r="F120" s="83" t="s">
        <v>103</v>
      </c>
      <c r="G120" s="136" t="s">
        <v>104</v>
      </c>
      <c r="H120" s="136" t="s">
        <v>105</v>
      </c>
    </row>
    <row r="121" spans="3:13" hidden="1" x14ac:dyDescent="0.25">
      <c r="C121" s="72">
        <f>I65</f>
        <v>0.05</v>
      </c>
      <c r="D121" s="84">
        <f>IF(C114='Drop Box Names'!B59,IF(H58='Drop Box Names'!B36,D92,IF(H58='Drop Box Names'!B37,G92,J92)),IF(C114='Drop Box Names'!B58,IF(H58='Drop Box Names'!B36,D93,IF(H58='Drop Box Names'!B37,G93,J93))))</f>
        <v>7.4999999999999997E-2</v>
      </c>
      <c r="E121" s="85">
        <f>IF(C114='Drop Box Names'!B59,IF(H58='Drop Box Names'!B36,E92,IF(H58='Drop Box Names'!B37,H92,K92)),IF(C114='Drop Box Names'!B58,IF(H58='Drop Box Names'!B36,E93,IF(H58='Drop Box Names'!B37,H93,K93))))</f>
        <v>0.125</v>
      </c>
      <c r="F121" s="146">
        <f>H65</f>
        <v>0.05</v>
      </c>
      <c r="G121" s="147">
        <f>IF(H58='Drop Box Names'!B36,F121*G124,IF(H58='Drop Box Names'!B37,F121*G125,F121*G126))</f>
        <v>6.9999999999999993E-2</v>
      </c>
      <c r="H121" s="86">
        <f>IF(H58='Drop Box Names'!B36,G121*G124,IF(H58='Drop Box Names'!B37,G121*G125,G121*G126))</f>
        <v>9.799999999999999E-2</v>
      </c>
      <c r="J121" s="44" t="s">
        <v>482</v>
      </c>
    </row>
    <row r="122" spans="3:13" hidden="1" x14ac:dyDescent="0.25">
      <c r="C122" s="57"/>
      <c r="J122" s="44" t="s">
        <v>483</v>
      </c>
    </row>
    <row r="123" spans="3:13" hidden="1" x14ac:dyDescent="0.25">
      <c r="C123" s="57"/>
      <c r="F123" s="44" t="s">
        <v>307</v>
      </c>
    </row>
    <row r="124" spans="3:13" hidden="1" x14ac:dyDescent="0.25">
      <c r="F124" s="44" t="s">
        <v>1</v>
      </c>
      <c r="G124" s="44">
        <v>1.5</v>
      </c>
    </row>
    <row r="125" spans="3:13" hidden="1" x14ac:dyDescent="0.25">
      <c r="F125" s="44" t="s">
        <v>69</v>
      </c>
      <c r="G125" s="44">
        <v>1.4</v>
      </c>
    </row>
    <row r="126" spans="3:13" hidden="1" x14ac:dyDescent="0.25">
      <c r="F126" s="44" t="s">
        <v>70</v>
      </c>
      <c r="G126" s="44">
        <v>1.3</v>
      </c>
    </row>
    <row r="127" spans="3:13" hidden="1" x14ac:dyDescent="0.25"/>
    <row r="128" spans="3:13" hidden="1" x14ac:dyDescent="0.25"/>
    <row r="129" spans="3:4" hidden="1" x14ac:dyDescent="0.25">
      <c r="C129" s="120">
        <f>ROUND(Summary!E16,0)</f>
        <v>1100</v>
      </c>
      <c r="D129" s="44" t="s">
        <v>437</v>
      </c>
    </row>
    <row r="157" spans="7:10" hidden="1" x14ac:dyDescent="0.25">
      <c r="G157" s="148" t="s">
        <v>75</v>
      </c>
      <c r="H157" s="148"/>
    </row>
    <row r="158" spans="7:10" hidden="1" x14ac:dyDescent="0.25">
      <c r="G158" s="72"/>
      <c r="H158" s="148" t="s">
        <v>19</v>
      </c>
      <c r="I158" s="148"/>
      <c r="J158" s="148"/>
    </row>
    <row r="159" spans="7:10" hidden="1" x14ac:dyDescent="0.25">
      <c r="G159" s="72"/>
      <c r="H159" s="148" t="s">
        <v>96</v>
      </c>
      <c r="I159" s="148"/>
      <c r="J159" s="148"/>
    </row>
    <row r="160" spans="7:10" hidden="1" x14ac:dyDescent="0.25">
      <c r="G160" s="77" t="s">
        <v>71</v>
      </c>
      <c r="H160" s="73">
        <v>2.5000000000000001E-2</v>
      </c>
      <c r="I160" s="148" t="s">
        <v>97</v>
      </c>
      <c r="J160" s="148" t="s">
        <v>98</v>
      </c>
    </row>
    <row r="161" spans="2:10" hidden="1" x14ac:dyDescent="0.25">
      <c r="G161" s="77" t="s">
        <v>72</v>
      </c>
      <c r="H161" s="73">
        <v>0.05</v>
      </c>
      <c r="I161" s="73">
        <v>0.05</v>
      </c>
      <c r="J161" s="73">
        <v>7.4999999999999997E-2</v>
      </c>
    </row>
    <row r="162" spans="2:10" hidden="1" x14ac:dyDescent="0.25">
      <c r="G162" s="136"/>
      <c r="H162" s="136"/>
      <c r="I162" s="73">
        <v>7.4999999999999997E-2</v>
      </c>
      <c r="J162" s="73">
        <v>0.1</v>
      </c>
    </row>
    <row r="163" spans="2:10" hidden="1" x14ac:dyDescent="0.25">
      <c r="I163" s="136"/>
      <c r="J163" s="136"/>
    </row>
    <row r="164" spans="2:10" hidden="1" x14ac:dyDescent="0.25">
      <c r="B164" s="366" t="s">
        <v>74</v>
      </c>
      <c r="C164" s="366"/>
      <c r="D164" s="366"/>
      <c r="E164" s="366"/>
    </row>
    <row r="165" spans="2:10" hidden="1" x14ac:dyDescent="0.25">
      <c r="B165" s="149"/>
      <c r="C165" s="373" t="s">
        <v>12</v>
      </c>
      <c r="D165" s="362" t="s">
        <v>19</v>
      </c>
      <c r="E165" s="366"/>
    </row>
    <row r="166" spans="2:10" hidden="1" x14ac:dyDescent="0.25">
      <c r="B166" s="61"/>
      <c r="C166" s="374"/>
      <c r="D166" s="139" t="s">
        <v>45</v>
      </c>
      <c r="E166" s="112" t="s">
        <v>77</v>
      </c>
    </row>
    <row r="167" spans="2:10" hidden="1" x14ac:dyDescent="0.25">
      <c r="B167" s="61" t="s">
        <v>1</v>
      </c>
      <c r="C167" s="150">
        <v>25</v>
      </c>
      <c r="D167" s="140">
        <v>45</v>
      </c>
      <c r="E167" s="136">
        <v>35</v>
      </c>
    </row>
    <row r="168" spans="2:10" hidden="1" x14ac:dyDescent="0.25">
      <c r="B168" s="61" t="s">
        <v>69</v>
      </c>
      <c r="C168" s="150">
        <v>20</v>
      </c>
      <c r="D168" s="151">
        <v>35</v>
      </c>
      <c r="E168" s="136">
        <v>25</v>
      </c>
    </row>
    <row r="169" spans="2:10" hidden="1" x14ac:dyDescent="0.25">
      <c r="B169" s="61" t="s">
        <v>70</v>
      </c>
      <c r="C169" s="150">
        <v>15</v>
      </c>
      <c r="D169" s="151">
        <v>25</v>
      </c>
      <c r="E169" s="136">
        <v>20</v>
      </c>
    </row>
    <row r="170" spans="2:10" hidden="1" x14ac:dyDescent="0.25">
      <c r="B170" s="366"/>
      <c r="C170" s="366"/>
      <c r="D170" s="366"/>
      <c r="E170" s="366"/>
    </row>
  </sheetData>
  <sheetProtection algorithmName="SHA-512" hashValue="flG4Q42rxVWc1tJ4E79kJ/l6zPbiB96q4+BgTLb9QBM5Hd0FYuIIcDDvf27VNU/OuAAAdbeR6tmGAK42o7VphA==" saltValue="8tQUl/EkG4QKVRu4uy63uQ==" spinCount="100000" sheet="1" formatCells="0" formatColumns="0" formatRows="0"/>
  <mergeCells count="115">
    <mergeCell ref="B54:G54"/>
    <mergeCell ref="B74:G74"/>
    <mergeCell ref="B75:G75"/>
    <mergeCell ref="B72:G72"/>
    <mergeCell ref="B71:G71"/>
    <mergeCell ref="B64:G64"/>
    <mergeCell ref="H55:I55"/>
    <mergeCell ref="B70:G70"/>
    <mergeCell ref="B78:F78"/>
    <mergeCell ref="B55:G55"/>
    <mergeCell ref="B62:G62"/>
    <mergeCell ref="B66:G66"/>
    <mergeCell ref="B68:G68"/>
    <mergeCell ref="B56:G56"/>
    <mergeCell ref="M78:P78"/>
    <mergeCell ref="H68:I68"/>
    <mergeCell ref="H78:K78"/>
    <mergeCell ref="J82:K82"/>
    <mergeCell ref="J81:K81"/>
    <mergeCell ref="J80:K80"/>
    <mergeCell ref="B69:G69"/>
    <mergeCell ref="B170:E170"/>
    <mergeCell ref="F90:H90"/>
    <mergeCell ref="I90:K90"/>
    <mergeCell ref="C90:E90"/>
    <mergeCell ref="C165:C166"/>
    <mergeCell ref="B164:E164"/>
    <mergeCell ref="B101:E102"/>
    <mergeCell ref="D165:E165"/>
    <mergeCell ref="B94:K94"/>
    <mergeCell ref="C119:E119"/>
    <mergeCell ref="F119:H119"/>
    <mergeCell ref="C118:H118"/>
    <mergeCell ref="B97:E97"/>
    <mergeCell ref="B85:C85"/>
    <mergeCell ref="M82:P83"/>
    <mergeCell ref="B73:I73"/>
    <mergeCell ref="B35:I35"/>
    <mergeCell ref="B33:G33"/>
    <mergeCell ref="H36:I36"/>
    <mergeCell ref="B24:D24"/>
    <mergeCell ref="B25:D25"/>
    <mergeCell ref="B41:G41"/>
    <mergeCell ref="H47:I47"/>
    <mergeCell ref="B26:I26"/>
    <mergeCell ref="B40:I40"/>
    <mergeCell ref="B38:I38"/>
    <mergeCell ref="H41:I41"/>
    <mergeCell ref="B43:G43"/>
    <mergeCell ref="B42:G42"/>
    <mergeCell ref="B50:G50"/>
    <mergeCell ref="B49:G49"/>
    <mergeCell ref="B47:G47"/>
    <mergeCell ref="B48:G48"/>
    <mergeCell ref="B60:G60"/>
    <mergeCell ref="B45:G45"/>
    <mergeCell ref="B51:G51"/>
    <mergeCell ref="H83:K85"/>
    <mergeCell ref="B89:K89"/>
    <mergeCell ref="B79:C79"/>
    <mergeCell ref="B80:C80"/>
    <mergeCell ref="B84:C84"/>
    <mergeCell ref="B83:C83"/>
    <mergeCell ref="B82:C82"/>
    <mergeCell ref="J79:K79"/>
    <mergeCell ref="B81:C81"/>
    <mergeCell ref="B86:F86"/>
    <mergeCell ref="B65:G65"/>
    <mergeCell ref="B46:I46"/>
    <mergeCell ref="H54:I54"/>
    <mergeCell ref="B63:I63"/>
    <mergeCell ref="B57:I57"/>
    <mergeCell ref="B67:I67"/>
    <mergeCell ref="H64:I64"/>
    <mergeCell ref="B3:I3"/>
    <mergeCell ref="B2:I2"/>
    <mergeCell ref="B36:G36"/>
    <mergeCell ref="B61:G61"/>
    <mergeCell ref="B37:G37"/>
    <mergeCell ref="B28:G28"/>
    <mergeCell ref="B4:G4"/>
    <mergeCell ref="B39:G39"/>
    <mergeCell ref="B34:G34"/>
    <mergeCell ref="H60:I60"/>
    <mergeCell ref="H58:I58"/>
    <mergeCell ref="B58:G58"/>
    <mergeCell ref="B59:I59"/>
    <mergeCell ref="B18:D18"/>
    <mergeCell ref="B17:D17"/>
    <mergeCell ref="B16:D16"/>
    <mergeCell ref="B14:I14"/>
    <mergeCell ref="B8:G8"/>
    <mergeCell ref="B7:G7"/>
    <mergeCell ref="B6:G6"/>
    <mergeCell ref="B19:D19"/>
    <mergeCell ref="H4:I4"/>
    <mergeCell ref="H39:I39"/>
    <mergeCell ref="H37:I37"/>
    <mergeCell ref="B15:D15"/>
    <mergeCell ref="B21:D21"/>
    <mergeCell ref="B20:I20"/>
    <mergeCell ref="B32:I32"/>
    <mergeCell ref="B5:I5"/>
    <mergeCell ref="B31:G31"/>
    <mergeCell ref="B30:G30"/>
    <mergeCell ref="B13:G13"/>
    <mergeCell ref="B12:G12"/>
    <mergeCell ref="B11:G11"/>
    <mergeCell ref="B10:G10"/>
    <mergeCell ref="B9:G9"/>
    <mergeCell ref="H27:I27"/>
    <mergeCell ref="B27:G27"/>
    <mergeCell ref="H28:I28"/>
    <mergeCell ref="B23:D23"/>
    <mergeCell ref="B22:D22"/>
  </mergeCells>
  <dataValidations count="4">
    <dataValidation type="decimal" operator="lessThanOrEqual" allowBlank="1" showInputMessage="1" showErrorMessage="1" errorTitle="ERROR" error="The sum of the cull percentages CANNOT be greater than 100%._x000a__x000a_If you are getting this error message and your percentages are &lt;100%, please ensure that the &quot;%&quot; sign is entered in the cell." sqref="E23" xr:uid="{00000000-0002-0000-0100-000000000000}">
      <formula1>1-E22</formula1>
    </dataValidation>
    <dataValidation type="decimal" operator="lessThanOrEqual" allowBlank="1" showInputMessage="1" showErrorMessage="1" errorTitle="ERROR" error="The sum of the cull percentages CANNOT be greater than 100%._x000a__x000a_If you are getting this error message and your percentages are &lt;100%, please ensure that the &quot;%&quot; sign is entered in the cell." sqref="E22" xr:uid="{00000000-0002-0000-0100-000001000000}">
      <formula1>1-E23</formula1>
    </dataValidation>
    <dataValidation type="decimal" operator="lessThanOrEqual" allowBlank="1" showInputMessage="1" showErrorMessage="1" errorTitle="ERROR" error="The sum of the percentages CANNOT be greater than 100%._x000a__x000a_If you are getting this error message and your percentages are less than 100%, please ensure that the &quot;%&quot; sign is entered in the cell.”" sqref="E16" xr:uid="{00000000-0002-0000-0100-000002000000}">
      <formula1>1-E17</formula1>
    </dataValidation>
    <dataValidation type="decimal" operator="lessThanOrEqual" allowBlank="1" showInputMessage="1" showErrorMessage="1" errorTitle="ERROR" error="The sum of the percentages CANNOT be greater than 100%._x000a__x000a_If you are getting this error message and your percentages are less than 100%, please ensure that the &quot;%&quot; sign is entered in the cell.”" sqref="E17" xr:uid="{00000000-0002-0000-0100-000003000000}">
      <formula1>1-E16</formula1>
    </dataValidation>
  </dataValidations>
  <pageMargins left="0.7" right="0.7" top="0.75" bottom="0.75" header="0.3" footer="0.3"/>
  <pageSetup scale="90" orientation="portrait" horizontalDpi="4294967295" verticalDpi="4294967295" r:id="rId1"/>
  <legacyDrawing r:id="rId2"/>
  <extLst>
    <ext xmlns:x14="http://schemas.microsoft.com/office/spreadsheetml/2009/9/main" uri="{78C0D931-6437-407d-A8EE-F0AAD7539E65}">
      <x14:conditionalFormattings>
        <x14:conditionalFormatting xmlns:xm="http://schemas.microsoft.com/office/excel/2006/main">
          <x14:cfRule type="expression" priority="6" id="{64D83951-001C-43EE-93CB-9DF5270FC5DF}">
            <xm:f>$H$36='Drop Box Names'!$B$10</xm:f>
            <x14:dxf>
              <font>
                <color theme="0"/>
              </font>
            </x14:dxf>
          </x14:cfRule>
          <xm:sqref>B37:I37 K37</xm:sqref>
        </x14:conditionalFormatting>
        <x14:conditionalFormatting xmlns:xm="http://schemas.microsoft.com/office/excel/2006/main">
          <x14:cfRule type="expression" priority="100" id="{D70C48AB-F195-408C-926E-774A3443A5CD}">
            <xm:f>$H$54='Drop Box Names'!$B$33</xm:f>
            <x14:dxf>
              <font>
                <color theme="0"/>
              </font>
            </x14:dxf>
          </x14:cfRule>
          <xm:sqref>B55:I55</xm:sqref>
        </x14:conditionalFormatting>
        <x14:conditionalFormatting xmlns:xm="http://schemas.microsoft.com/office/excel/2006/main">
          <x14:cfRule type="expression" priority="12" stopIfTrue="1" id="{0D43AC44-18F7-479A-9FF0-21FB4CDE8D2C}">
            <xm:f>$H$68='Drop Box Names'!$B$44</xm:f>
            <x14:dxf>
              <font>
                <color theme="0"/>
              </font>
            </x14:dxf>
          </x14:cfRule>
          <xm:sqref>B69:I72</xm:sqref>
        </x14:conditionalFormatting>
        <x14:conditionalFormatting xmlns:xm="http://schemas.microsoft.com/office/excel/2006/main">
          <x14:cfRule type="expression" priority="127" id="{29EF8B04-23C5-402E-B616-2C3BE471D8BB}">
            <xm:f>$H$28='Drop Box Names'!$B$30</xm:f>
            <x14:dxf>
              <font>
                <color theme="0"/>
              </font>
            </x14:dxf>
          </x14:cfRule>
          <xm:sqref>B70:I70 H33:H34 B49:I49 K49 B60:I61 K60:K62 B62 H62:I62</xm:sqref>
        </x14:conditionalFormatting>
        <x14:conditionalFormatting xmlns:xm="http://schemas.microsoft.com/office/excel/2006/main">
          <x14:cfRule type="expression" priority="33" id="{F4379995-262A-4007-A3B8-332E0B0B883C}">
            <xm:f>$H$41='Drop Box Names'!$B$40</xm:f>
            <x14:dxf>
              <font>
                <color theme="0"/>
              </font>
            </x14:dxf>
          </x14:cfRule>
          <xm:sqref>H42 B43:H43</xm:sqref>
        </x14:conditionalFormatting>
        <x14:conditionalFormatting xmlns:xm="http://schemas.microsoft.com/office/excel/2006/main">
          <x14:cfRule type="expression" priority="101" id="{D11BF289-708A-45D8-B004-D8E84508EBB7}">
            <xm:f>$H$47='Drop Box Names'!$B$32</xm:f>
            <x14:dxf>
              <font>
                <color theme="0"/>
              </font>
            </x14:dxf>
          </x14:cfRule>
          <xm:sqref>H48:H52</xm:sqref>
        </x14:conditionalFormatting>
        <x14:conditionalFormatting xmlns:xm="http://schemas.microsoft.com/office/excel/2006/main">
          <x14:cfRule type="expression" priority="95" id="{20C97D50-E680-4471-AD7E-BD22491C5616}">
            <xm:f>$H$54='Drop Box Names'!$B$32</xm:f>
            <x14:dxf>
              <font>
                <color theme="0"/>
              </font>
            </x14:dxf>
          </x14:cfRule>
          <xm:sqref>H56</xm:sqref>
        </x14:conditionalFormatting>
        <x14:conditionalFormatting xmlns:xm="http://schemas.microsoft.com/office/excel/2006/main">
          <x14:cfRule type="expression" priority="98" id="{20E7E0E5-96E4-4CE4-B475-04478B8D156D}">
            <xm:f>$H$60='Drop Box Names'!$B$32</xm:f>
            <x14:dxf>
              <font>
                <color theme="0"/>
              </font>
            </x14:dxf>
          </x14:cfRule>
          <xm:sqref>H61</xm:sqref>
        </x14:conditionalFormatting>
        <x14:conditionalFormatting xmlns:xm="http://schemas.microsoft.com/office/excel/2006/main">
          <x14:cfRule type="expression" priority="97" id="{C3595E81-FD12-4960-8438-1063A14728B9}">
            <xm:f>$H$64='Drop Box Names'!$B$32</xm:f>
            <x14:dxf>
              <font>
                <color theme="0"/>
              </font>
            </x14:dxf>
          </x14:cfRule>
          <xm:sqref>H65</xm:sqref>
        </x14:conditionalFormatting>
        <x14:conditionalFormatting xmlns:xm="http://schemas.microsoft.com/office/excel/2006/main">
          <x14:cfRule type="expression" priority="135" id="{B32ACB67-D6E4-475A-A308-39B24F316578}">
            <xm:f>$H$28='Drop Box Names'!$B$29</xm:f>
            <x14:dxf>
              <font>
                <color theme="0"/>
              </font>
            </x14:dxf>
          </x14:cfRule>
          <xm:sqref>I33:I34</xm:sqref>
        </x14:conditionalFormatting>
        <x14:conditionalFormatting xmlns:xm="http://schemas.microsoft.com/office/excel/2006/main">
          <x14:cfRule type="expression" priority="124" id="{AB0535AD-151A-428E-87F1-880FA4F601FA}">
            <xm:f>$H$41='Drop Box Names'!$B$41</xm:f>
            <x14:dxf>
              <font>
                <color theme="0"/>
              </font>
            </x14:dxf>
          </x14:cfRule>
          <xm:sqref>I42:I45</xm:sqref>
        </x14:conditionalFormatting>
        <x14:conditionalFormatting xmlns:xm="http://schemas.microsoft.com/office/excel/2006/main">
          <x14:cfRule type="expression" priority="13" id="{3961005B-15C3-40DA-A8DE-B315C472275F}">
            <xm:f>$H$54='Drop Box Names'!$B$33</xm:f>
            <x14:dxf>
              <font>
                <color theme="0"/>
              </font>
            </x14:dxf>
          </x14:cfRule>
          <xm:sqref>I56</xm:sqref>
        </x14:conditionalFormatting>
        <x14:conditionalFormatting xmlns:xm="http://schemas.microsoft.com/office/excel/2006/main">
          <x14:cfRule type="expression" priority="99" id="{87023317-01EF-4D60-A3D0-800D92CAB447}">
            <xm:f>$H$60='Drop Box Names'!$B$33</xm:f>
            <x14:dxf>
              <font>
                <color theme="0"/>
              </font>
            </x14:dxf>
          </x14:cfRule>
          <xm:sqref>I61:I62</xm:sqref>
        </x14:conditionalFormatting>
        <x14:conditionalFormatting xmlns:xm="http://schemas.microsoft.com/office/excel/2006/main">
          <x14:cfRule type="expression" priority="96" id="{3786E68D-85F0-484D-B3CD-5967DF80C219}">
            <xm:f>$H$64='Drop Box Names'!$B$33</xm:f>
            <x14:dxf>
              <font>
                <color theme="0"/>
              </font>
            </x14:dxf>
          </x14:cfRule>
          <xm:sqref>I65:I66</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4000000}">
          <x14:formula1>
            <xm:f>'Drop Box Names'!$B$36:$B$38</xm:f>
          </x14:formula1>
          <xm:sqref>H58</xm:sqref>
        </x14:dataValidation>
        <x14:dataValidation type="list" allowBlank="1" showInputMessage="1" showErrorMessage="1" xr:uid="{00000000-0002-0000-0100-000005000000}">
          <x14:formula1>
            <xm:f>'Drop Box Names'!$B$46:$B$49</xm:f>
          </x14:formula1>
          <xm:sqref>H55:I55</xm:sqref>
        </x14:dataValidation>
        <x14:dataValidation type="list" allowBlank="1" showInputMessage="1" showErrorMessage="1" xr:uid="{00000000-0002-0000-0100-000006000000}">
          <x14:formula1>
            <xm:f>'Drop Box Names'!$B$10:$B$11</xm:f>
          </x14:formula1>
          <xm:sqref>H36</xm:sqref>
        </x14:dataValidation>
        <x14:dataValidation type="list" allowBlank="1" showInputMessage="1" showErrorMessage="1" xr:uid="{00000000-0002-0000-0100-000007000000}">
          <x14:formula1>
            <xm:f>'Drop Box Names'!$B$40:$B$41</xm:f>
          </x14:formula1>
          <xm:sqref>H41</xm:sqref>
        </x14:dataValidation>
        <x14:dataValidation type="list" allowBlank="1" showInputMessage="1" showErrorMessage="1" xr:uid="{00000000-0002-0000-0100-000008000000}">
          <x14:formula1>
            <xm:f>'Drop Box Names'!$B$4:$B$8</xm:f>
          </x14:formula1>
          <xm:sqref>H6</xm:sqref>
        </x14:dataValidation>
        <x14:dataValidation type="list" allowBlank="1" showInputMessage="1" showErrorMessage="1" xr:uid="{00000000-0002-0000-0100-000009000000}">
          <x14:formula1>
            <xm:f>'Drop Box Names'!$B$21:$B$26</xm:f>
          </x14:formula1>
          <xm:sqref>H4:I4</xm:sqref>
        </x14:dataValidation>
        <x14:dataValidation type="list" allowBlank="1" showInputMessage="1" showErrorMessage="1" xr:uid="{00000000-0002-0000-0100-00000A000000}">
          <x14:formula1>
            <xm:f>'Drop Box Names'!$B$13:$B$14</xm:f>
          </x14:formula1>
          <xm:sqref>H37</xm:sqref>
        </x14:dataValidation>
        <x14:dataValidation type="list" allowBlank="1" showInputMessage="1" showErrorMessage="1" xr:uid="{00000000-0002-0000-0100-00000B000000}">
          <x14:formula1>
            <xm:f>'Drop Box Names'!$B$32:$B$33</xm:f>
          </x14:formula1>
          <xm:sqref>H64:I64 H47:I47 H60:I60 H54:I54</xm:sqref>
        </x14:dataValidation>
        <x14:dataValidation type="list" allowBlank="1" showInputMessage="1" showErrorMessage="1" xr:uid="{00000000-0002-0000-0100-00000C000000}">
          <x14:formula1>
            <xm:f>'Drop Box Names'!$B$43:$B$44</xm:f>
          </x14:formula1>
          <xm:sqref>H68:I68</xm:sqref>
        </x14:dataValidation>
        <x14:dataValidation type="list" allowBlank="1" showInputMessage="1" showErrorMessage="1" xr:uid="{00000000-0002-0000-0100-00000D000000}">
          <x14:formula1>
            <xm:f>'Drop Box Names'!$B$16:$B$19</xm:f>
          </x14:formula1>
          <xm:sqref>H39:I39</xm:sqref>
        </x14:dataValidation>
        <x14:dataValidation type="list" allowBlank="1" showInputMessage="1" showErrorMessage="1" xr:uid="{00000000-0002-0000-0100-00000E000000}">
          <x14:formula1>
            <xm:f>'Drop Box Names'!$B$29:$B$30</xm:f>
          </x14:formula1>
          <xm:sqref>H28:I29</xm:sqref>
        </x14:dataValidation>
        <x14:dataValidation type="list" allowBlank="1" showInputMessage="1" showErrorMessage="1" xr:uid="{00000000-0002-0000-0100-00000F000000}">
          <x14:formula1>
            <xm:f>'Drop Box Names'!$B$72:$B$74</xm:f>
          </x14:formula1>
          <xm:sqref>H27:I27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2:AI59"/>
  <sheetViews>
    <sheetView showGridLines="0" topLeftCell="A15" zoomScaleNormal="100" workbookViewId="0">
      <selection activeCell="H17" sqref="H17"/>
    </sheetView>
  </sheetViews>
  <sheetFormatPr defaultColWidth="9" defaultRowHeight="12.75" x14ac:dyDescent="0.25"/>
  <cols>
    <col min="1" max="1" width="5.140625" style="44" customWidth="1"/>
    <col min="2" max="2" width="23.85546875" style="44" customWidth="1"/>
    <col min="3" max="3" width="9.85546875" style="44" customWidth="1"/>
    <col min="4" max="4" width="12" style="44" customWidth="1"/>
    <col min="5" max="7" width="10.28515625" style="44" customWidth="1"/>
    <col min="8" max="8" width="11.7109375" style="44" customWidth="1"/>
    <col min="9" max="9" width="11.42578125" style="44" customWidth="1"/>
    <col min="10" max="10" width="12.42578125" style="44" customWidth="1"/>
    <col min="11" max="11" width="11.85546875" style="44" customWidth="1"/>
    <col min="12" max="12" width="17.7109375" style="44" customWidth="1"/>
    <col min="13" max="13" width="5.140625" style="44" customWidth="1"/>
    <col min="14" max="14" width="11.7109375" style="46" customWidth="1"/>
    <col min="15" max="18" width="11.7109375" style="44" customWidth="1"/>
    <col min="19" max="33" width="9" style="44"/>
    <col min="34" max="34" width="10.5703125" style="44" hidden="1" customWidth="1"/>
    <col min="35" max="35" width="11.7109375" style="44" hidden="1" customWidth="1"/>
    <col min="36" max="16384" width="9" style="44"/>
  </cols>
  <sheetData>
    <row r="2" spans="2:35" ht="15.75" customHeight="1" x14ac:dyDescent="0.25">
      <c r="B2" s="398" t="s">
        <v>478</v>
      </c>
      <c r="C2" s="398"/>
      <c r="D2" s="398"/>
      <c r="E2" s="398"/>
      <c r="F2" s="398"/>
      <c r="G2" s="398"/>
      <c r="H2" s="398"/>
      <c r="I2" s="398"/>
      <c r="J2" s="398"/>
      <c r="K2" s="398"/>
      <c r="L2" s="398"/>
      <c r="N2" s="227"/>
      <c r="O2" s="46"/>
      <c r="AI2" s="153"/>
    </row>
    <row r="3" spans="2:35" ht="12.75" customHeight="1" x14ac:dyDescent="0.25">
      <c r="B3" s="323"/>
      <c r="C3" s="324"/>
      <c r="D3" s="324"/>
      <c r="E3" s="324"/>
      <c r="F3" s="324"/>
      <c r="G3" s="324"/>
      <c r="H3" s="324"/>
      <c r="I3" s="324"/>
      <c r="J3" s="324"/>
      <c r="K3" s="324"/>
      <c r="L3" s="325"/>
      <c r="N3" s="214" t="s">
        <v>163</v>
      </c>
      <c r="O3" s="215"/>
      <c r="P3" s="215"/>
      <c r="Q3" s="215"/>
      <c r="AI3" s="154"/>
    </row>
    <row r="4" spans="2:35" ht="12.75" customHeight="1" x14ac:dyDescent="0.25">
      <c r="B4" s="350" t="s">
        <v>238</v>
      </c>
      <c r="C4" s="351"/>
      <c r="D4" s="358"/>
      <c r="E4" s="396" t="s">
        <v>237</v>
      </c>
      <c r="F4" s="397"/>
      <c r="G4" s="298"/>
      <c r="H4" s="88"/>
      <c r="I4" s="92"/>
      <c r="J4" s="92"/>
      <c r="K4" s="92"/>
      <c r="L4" s="92"/>
      <c r="N4" s="65"/>
      <c r="AI4" s="154"/>
    </row>
    <row r="5" spans="2:35" ht="12.75" customHeight="1" x14ac:dyDescent="0.25">
      <c r="B5" s="350" t="s">
        <v>272</v>
      </c>
      <c r="C5" s="351"/>
      <c r="D5" s="358"/>
      <c r="E5" s="396" t="s">
        <v>237</v>
      </c>
      <c r="F5" s="397"/>
      <c r="G5" s="298"/>
      <c r="H5" s="88"/>
      <c r="I5" s="92"/>
      <c r="J5" s="92"/>
      <c r="K5" s="92"/>
      <c r="L5" s="92"/>
      <c r="N5" s="65"/>
      <c r="AI5" s="154"/>
    </row>
    <row r="6" spans="2:35" ht="12.75" customHeight="1" x14ac:dyDescent="0.25">
      <c r="B6" s="350" t="s">
        <v>288</v>
      </c>
      <c r="C6" s="351"/>
      <c r="D6" s="358"/>
      <c r="E6" s="396" t="s">
        <v>0</v>
      </c>
      <c r="F6" s="397"/>
      <c r="G6" s="298"/>
      <c r="H6" s="88"/>
      <c r="I6" s="92"/>
      <c r="J6" s="92"/>
      <c r="K6" s="92"/>
      <c r="L6" s="92"/>
      <c r="N6" s="65"/>
      <c r="AI6" s="154"/>
    </row>
    <row r="7" spans="2:35" ht="12.75" customHeight="1" x14ac:dyDescent="0.25">
      <c r="B7" s="350" t="s">
        <v>287</v>
      </c>
      <c r="C7" s="351"/>
      <c r="D7" s="358"/>
      <c r="E7" s="394">
        <v>0.03</v>
      </c>
      <c r="F7" s="395"/>
      <c r="G7" s="297"/>
      <c r="H7" s="88"/>
      <c r="I7" s="92"/>
      <c r="J7" s="92"/>
      <c r="K7" s="92"/>
      <c r="L7" s="92"/>
      <c r="N7" s="65"/>
      <c r="AI7" s="154"/>
    </row>
    <row r="8" spans="2:35" ht="4.5" customHeight="1" x14ac:dyDescent="0.25">
      <c r="B8" s="386"/>
      <c r="C8" s="387"/>
      <c r="D8" s="387"/>
      <c r="E8" s="387"/>
      <c r="F8" s="387"/>
      <c r="G8" s="387"/>
      <c r="H8" s="387"/>
      <c r="I8" s="387"/>
      <c r="J8" s="387"/>
      <c r="K8" s="387"/>
      <c r="L8" s="388"/>
      <c r="N8" s="65"/>
      <c r="AI8" s="154"/>
    </row>
    <row r="9" spans="2:35" ht="39.75" customHeight="1" x14ac:dyDescent="0.25">
      <c r="B9" s="88"/>
      <c r="C9" s="102" t="s">
        <v>235</v>
      </c>
      <c r="D9" s="102" t="s">
        <v>234</v>
      </c>
      <c r="E9" s="102" t="s">
        <v>278</v>
      </c>
      <c r="F9" s="102" t="s">
        <v>532</v>
      </c>
      <c r="G9" s="102" t="s">
        <v>82</v>
      </c>
      <c r="H9" s="102" t="s">
        <v>273</v>
      </c>
      <c r="I9" s="102" t="s">
        <v>274</v>
      </c>
      <c r="J9" s="102" t="s">
        <v>435</v>
      </c>
      <c r="K9" s="102" t="s">
        <v>404</v>
      </c>
      <c r="L9" s="102" t="s">
        <v>436</v>
      </c>
      <c r="N9" s="65"/>
    </row>
    <row r="10" spans="2:35" ht="12.75" customHeight="1" x14ac:dyDescent="0.25">
      <c r="B10" s="105" t="s">
        <v>112</v>
      </c>
      <c r="C10" s="389"/>
      <c r="D10" s="390"/>
      <c r="E10" s="390"/>
      <c r="F10" s="390"/>
      <c r="G10" s="390"/>
      <c r="H10" s="390"/>
      <c r="I10" s="390"/>
      <c r="J10" s="390"/>
      <c r="K10" s="390"/>
      <c r="L10" s="391"/>
      <c r="N10" s="65"/>
      <c r="AH10" s="44" t="s">
        <v>284</v>
      </c>
      <c r="AI10" s="93" t="s">
        <v>83</v>
      </c>
    </row>
    <row r="11" spans="2:35" ht="12.75" customHeight="1" x14ac:dyDescent="0.25">
      <c r="B11" s="88" t="s">
        <v>11</v>
      </c>
      <c r="C11" s="246">
        <v>200</v>
      </c>
      <c r="D11" s="112">
        <f>ROUNDUP(Summary!$E$5/AI11,0)</f>
        <v>1</v>
      </c>
      <c r="E11" s="248">
        <v>1</v>
      </c>
      <c r="F11" s="299">
        <v>1</v>
      </c>
      <c r="G11" s="260">
        <f>IF('Production Data'!H28='Drop Box Names'!B30,0,IF($E$4='Drop Box Names'!$B$51,C11*D11*F11,C11*E11*F11))</f>
        <v>200</v>
      </c>
      <c r="H11" s="112">
        <v>5</v>
      </c>
      <c r="I11" s="248">
        <v>10</v>
      </c>
      <c r="J11" s="262">
        <f>IF('Production Data'!H28='Drop Box Names'!B30,0,IF($E$5='Drop Box Names'!$B$51,G11/H11,G11/I11))</f>
        <v>20</v>
      </c>
      <c r="K11" s="107">
        <f>IF($E$6='Drop Box Names'!$B$43,IF($E$5='Drop Box Names'!$B$52,-PMT($E$7,I11,G11,0)-J11,-PMT($E$7,H11,G11,0)-J11),0)</f>
        <v>3.446101321031918</v>
      </c>
      <c r="L11" s="196">
        <f>IF('Production Data'!H28='Drop Box Names'!B30,0,J11+K11)</f>
        <v>23.446101321031918</v>
      </c>
      <c r="N11" s="47" t="s">
        <v>245</v>
      </c>
      <c r="O11" s="155"/>
      <c r="AI11" s="156">
        <f>Summary!$E$5</f>
        <v>57</v>
      </c>
    </row>
    <row r="12" spans="2:35" ht="12.75" customHeight="1" x14ac:dyDescent="0.25">
      <c r="B12" s="88" t="s">
        <v>351</v>
      </c>
      <c r="C12" s="246">
        <v>1000</v>
      </c>
      <c r="D12" s="112">
        <f>ROUNDUP(Summary!$E$5/AI12,0)</f>
        <v>1</v>
      </c>
      <c r="E12" s="248">
        <v>1</v>
      </c>
      <c r="F12" s="299">
        <v>1</v>
      </c>
      <c r="G12" s="260">
        <f>IF('Production Data'!H36='Drop Box Names'!B11,0,IF($E$4='Drop Box Names'!$B$51,C12*D12*F12,C12*E12*F12))</f>
        <v>0</v>
      </c>
      <c r="H12" s="112">
        <v>15</v>
      </c>
      <c r="I12" s="248">
        <v>15</v>
      </c>
      <c r="J12" s="262">
        <f>IF('Production Data'!H33='Drop Box Names'!E9,0,IF($E$5='Drop Box Names'!$B$51,G12/H12,G12/I12))</f>
        <v>0</v>
      </c>
      <c r="K12" s="107">
        <f>IF($E$6='Drop Box Names'!$B$43,IF($E$5='Drop Box Names'!$B$52,-PMT($E$7,I12,G12,0)-J12,-PMT($E$7,H12,G12,0)-J12),0)</f>
        <v>0</v>
      </c>
      <c r="L12" s="196">
        <f>IF('Production Data'!H36='Drop Box Names'!B11,0,J12+K12)</f>
        <v>0</v>
      </c>
      <c r="N12" s="47"/>
      <c r="O12" s="155"/>
      <c r="AI12" s="156">
        <f>Summary!$E$5</f>
        <v>57</v>
      </c>
    </row>
    <row r="13" spans="2:35" ht="12.75" customHeight="1" x14ac:dyDescent="0.25">
      <c r="B13" s="88" t="s">
        <v>14</v>
      </c>
      <c r="C13" s="246">
        <v>350</v>
      </c>
      <c r="D13" s="112">
        <f>ROUNDUP(Summary!$E$5/AI13,0)</f>
        <v>3</v>
      </c>
      <c r="E13" s="248">
        <v>2</v>
      </c>
      <c r="F13" s="299">
        <v>1</v>
      </c>
      <c r="G13" s="260">
        <f>IF('Production Data'!H36='Drop Box Names'!B10,0,IF('Production Data'!H37='Drop Box Names'!B14,0,IF($E$4='Drop Box Names'!$B$51,C13*D13*F13,C13*E13*F13)))</f>
        <v>700</v>
      </c>
      <c r="H13" s="112">
        <v>10</v>
      </c>
      <c r="I13" s="248">
        <v>10</v>
      </c>
      <c r="J13" s="262">
        <f>IF('Production Data'!H37='Drop Box Names'!B14,0,IF($E$5='Drop Box Names'!$B$51,G13/H13,G13/I13))</f>
        <v>70</v>
      </c>
      <c r="K13" s="107">
        <f>IF($E$6='Drop Box Names'!$B$43,IF($E$5='Drop Box Names'!$B$52,-PMT($E$7,I13,G13,0)-J13,-PMT($E$7,H13,G13,0)-J13),0)</f>
        <v>12.061354623611706</v>
      </c>
      <c r="L13" s="196">
        <f>IF('Production Data'!H36='Drop Box Names'!B10,0,IF('Production Data'!H37='Drop Box Names'!B14,0,J13+K13))</f>
        <v>82.061354623611706</v>
      </c>
      <c r="N13" s="47" t="str">
        <f>"Stocking rate of "&amp;AI13&amp;" layers per hoop house. Construction and details can be found here: http://www2.ca.uky.edu/agc/pubs/ASC/ASC189/ASC189.pdf"</f>
        <v>Stocking rate of 20 layers per hoop house. Construction and details can be found here: http://www2.ca.uky.edu/agc/pubs/ASC/ASC189/ASC189.pdf</v>
      </c>
      <c r="O13" s="155"/>
      <c r="AI13" s="79">
        <v>20</v>
      </c>
    </row>
    <row r="14" spans="2:35" ht="12.75" customHeight="1" x14ac:dyDescent="0.25">
      <c r="B14" s="88" t="s">
        <v>10</v>
      </c>
      <c r="C14" s="247">
        <v>1500</v>
      </c>
      <c r="D14" s="112">
        <f>ROUNDUP(Summary!$E$5/AI14,0)</f>
        <v>1</v>
      </c>
      <c r="E14" s="248">
        <v>1</v>
      </c>
      <c r="F14" s="236">
        <v>1</v>
      </c>
      <c r="G14" s="260">
        <f>IF('Production Data'!H36='Drop Box Names'!B10,0,IF('Production Data'!H37='Drop Box Names'!B13,0,IF($E$4='Drop Box Names'!$B$51,C14*D14*F14,C14*E14*F14)))</f>
        <v>0</v>
      </c>
      <c r="H14" s="112">
        <v>10</v>
      </c>
      <c r="I14" s="248">
        <v>15</v>
      </c>
      <c r="J14" s="262">
        <f>IF('Production Data'!H37='Drop Box Names'!B13,0,IF($E$5='Drop Box Names'!$B$51,G14/H14,G14/I14))</f>
        <v>0</v>
      </c>
      <c r="K14" s="107">
        <f>IF($E$6='Drop Box Names'!$B$43,IF($E$5='Drop Box Names'!$B$52,-PMT($E$7,I14,G14,0)-J14,-PMT($E$7,H14,G14,0)-J14),0)</f>
        <v>0</v>
      </c>
      <c r="L14" s="196">
        <f>IF('Production Data'!H36='Drop Box Names'!B10,0,IF('Production Data'!H37='Drop Box Names'!B13,0,J14+K14))</f>
        <v>0</v>
      </c>
      <c r="N14" s="47"/>
      <c r="O14" s="155"/>
      <c r="AI14" s="76">
        <f>Summary!$E$5</f>
        <v>57</v>
      </c>
    </row>
    <row r="15" spans="2:35" ht="12.75" customHeight="1" x14ac:dyDescent="0.25">
      <c r="B15" s="88" t="s">
        <v>352</v>
      </c>
      <c r="C15" s="247">
        <v>200</v>
      </c>
      <c r="D15" s="112">
        <f>ROUNDUP(Summary!$E$5/AI15,0)</f>
        <v>1</v>
      </c>
      <c r="E15" s="248">
        <v>1</v>
      </c>
      <c r="F15" s="236">
        <v>1</v>
      </c>
      <c r="G15" s="260">
        <f>IF('Production Data'!H39='Drop Box Names'!B16,0,IF('Production Data'!H39='Drop Box Names'!B17,0,IF($E$4='Drop Box Names'!$B$51,C15*D15*F15,C15*E15*F15)))</f>
        <v>0</v>
      </c>
      <c r="H15" s="112">
        <v>10</v>
      </c>
      <c r="I15" s="248">
        <v>10</v>
      </c>
      <c r="J15" s="262">
        <f>IF('Production Data'!H39='Drop Box Names'!B16,0,IF($E$5='Drop Box Names'!$B$51,G15/H15,G15/I15))</f>
        <v>0</v>
      </c>
      <c r="K15" s="107">
        <f>IF($E$6='Drop Box Names'!$B$43,IF($E$5='Drop Box Names'!$B$52,-PMT($E$7,I15,G15,0)-J15,-PMT($E$7,H15,G15,0)-J15),0)</f>
        <v>0</v>
      </c>
      <c r="L15" s="196">
        <f>IF('Production Data'!H39='Drop Box Names'!B16,0,IF('Production Data'!H39='Drop Box Names'!B17,0,J15+K15))</f>
        <v>0</v>
      </c>
      <c r="N15" s="47"/>
      <c r="O15" s="155"/>
      <c r="AI15" s="76">
        <f>Summary!$E$5</f>
        <v>57</v>
      </c>
    </row>
    <row r="16" spans="2:35" ht="12.75" customHeight="1" x14ac:dyDescent="0.25">
      <c r="B16" s="88" t="s">
        <v>363</v>
      </c>
      <c r="C16" s="247">
        <v>170</v>
      </c>
      <c r="D16" s="112">
        <f>ROUNDUP(Summary!$E$5/AI16,0)</f>
        <v>1</v>
      </c>
      <c r="E16" s="248">
        <v>1</v>
      </c>
      <c r="F16" s="236">
        <v>1</v>
      </c>
      <c r="G16" s="260">
        <f>IF('Production Data'!H39='Drop Box Names'!B16,0,IF('Production Data'!H39='Drop Box Names'!B18,0,IF($E$4='Drop Box Names'!$B$51,C16*D16*F16,C16*E16*F16)))</f>
        <v>170</v>
      </c>
      <c r="H16" s="112">
        <v>7</v>
      </c>
      <c r="I16" s="248">
        <v>7</v>
      </c>
      <c r="J16" s="262">
        <f>IF('Production Data'!H39='Drop Box Names'!B16,0,IF($E$5='Drop Box Names'!$B$51,G16/H16,G16/I16))</f>
        <v>24.285714285714285</v>
      </c>
      <c r="K16" s="107">
        <f>IF($E$6='Drop Box Names'!$B$43,IF($E$5='Drop Box Names'!$B$52,-PMT($E$7,I16,G16,0)-J16,-PMT($E$7,H16,G16,0)-J16),0)</f>
        <v>3.0003658525119477</v>
      </c>
      <c r="L16" s="196">
        <f>IF('Production Data'!H39='Drop Box Names'!B16,0,IF('Production Data'!H39='Drop Box Names'!B18,0,J16+K16))</f>
        <v>27.286080138226232</v>
      </c>
      <c r="N16" s="47" t="str">
        <f>"This is strictly for the rolls of poly netting. The stocking rate for a 164 ft roll has been suggested to be "&amp;AI16&amp;" birds per roll. "</f>
        <v xml:space="preserve">This is strictly for the rolls of poly netting. The stocking rate for a 164 ft roll has been suggested to be 75 birds per roll. </v>
      </c>
      <c r="O16" s="155"/>
      <c r="AI16" s="79">
        <v>75</v>
      </c>
    </row>
    <row r="17" spans="2:35" ht="12.75" customHeight="1" x14ac:dyDescent="0.25">
      <c r="B17" s="88" t="s">
        <v>270</v>
      </c>
      <c r="C17" s="247">
        <v>150</v>
      </c>
      <c r="D17" s="112">
        <f>ROUNDUP(Summary!$E$5/AI17,0)</f>
        <v>1</v>
      </c>
      <c r="E17" s="248">
        <v>1</v>
      </c>
      <c r="F17" s="236">
        <v>1</v>
      </c>
      <c r="G17" s="260">
        <f>IF('Production Data'!H39='Drop Box Names'!B16,0,IF($E$4='Drop Box Names'!$B$51,C17*D17*F17,C17*E17*F17))</f>
        <v>150</v>
      </c>
      <c r="H17" s="112">
        <v>7</v>
      </c>
      <c r="I17" s="248">
        <v>7</v>
      </c>
      <c r="J17" s="262">
        <f>IF('Production Data'!H39='Drop Box Names'!B16,0,IF($E$5='Drop Box Names'!$B$51,G17/H17,G17/I17))</f>
        <v>21.428571428571427</v>
      </c>
      <c r="K17" s="107">
        <f>IF($E$6='Drop Box Names'!$B$43,IF($E$5='Drop Box Names'!$B$52,-PMT($E$7,I17,G17,0)-J17,-PMT($E$7,H17,G17,0)-J17),0)</f>
        <v>2.647381634569367</v>
      </c>
      <c r="L17" s="196">
        <f>IF('Production Data'!H39='Drop Box Names'!B16,0,J17+K17)</f>
        <v>24.075953063140794</v>
      </c>
      <c r="N17" s="47" t="s">
        <v>418</v>
      </c>
      <c r="O17" s="155"/>
      <c r="AI17" s="76">
        <f>Summary!$E$5</f>
        <v>57</v>
      </c>
    </row>
    <row r="18" spans="2:35" ht="12.75" customHeight="1" x14ac:dyDescent="0.25">
      <c r="B18" s="88" t="s">
        <v>111</v>
      </c>
      <c r="C18" s="247">
        <v>600</v>
      </c>
      <c r="D18" s="112">
        <f>ROUNDUP(Summary!$E$5/AI18,0)</f>
        <v>1</v>
      </c>
      <c r="E18" s="248">
        <v>1</v>
      </c>
      <c r="F18" s="236">
        <v>1</v>
      </c>
      <c r="G18" s="260">
        <f>IF('Production Data'!H41='Drop Box Names'!B41,0,IF($E$4='Drop Box Names'!$B$51,C18*D18*F18,C18*E18*F18))</f>
        <v>600</v>
      </c>
      <c r="H18" s="112">
        <v>15</v>
      </c>
      <c r="I18" s="248">
        <v>15</v>
      </c>
      <c r="J18" s="262">
        <f>IF('Production Data'!H41='Drop Box Names'!B41,0,IF($E$5='Drop Box Names'!$B$51,G18/H18,G18/I18))</f>
        <v>40</v>
      </c>
      <c r="K18" s="107">
        <f>IF($E$6='Drop Box Names'!$B$43,IF($E$5='Drop Box Names'!$B$52,-PMT($E$7,I18,G18,0)-J18,-PMT($E$7,H18,G18,0)-J18),0)</f>
        <v>10.259948277372814</v>
      </c>
      <c r="L18" s="196">
        <f>IF('Production Data'!H41='Drop Box Names'!B41,0,J18+K18)</f>
        <v>50.259948277372814</v>
      </c>
      <c r="N18" s="47" t="s">
        <v>427</v>
      </c>
      <c r="O18" s="155"/>
      <c r="AI18" s="76">
        <f>Summary!$E$5</f>
        <v>57</v>
      </c>
    </row>
    <row r="19" spans="2:35" ht="12.75" customHeight="1" x14ac:dyDescent="0.25">
      <c r="B19" s="88" t="s">
        <v>15</v>
      </c>
      <c r="C19" s="247">
        <v>500</v>
      </c>
      <c r="D19" s="112">
        <f>ROUNDUP(Summary!$E$5/AI19,0)</f>
        <v>1</v>
      </c>
      <c r="E19" s="248">
        <v>0</v>
      </c>
      <c r="F19" s="236">
        <v>0.5</v>
      </c>
      <c r="G19" s="260">
        <f>IF('Production Data'!H31&lt;'Drop Box Names'!B66,0,IF($E$4='Drop Box Names'!$B$51,C19*D19*F19,C19*E19*F19))</f>
        <v>0</v>
      </c>
      <c r="H19" s="112">
        <v>15</v>
      </c>
      <c r="I19" s="248">
        <v>15</v>
      </c>
      <c r="J19" s="262">
        <f>IF($E$5='Drop Box Names'!$B$51,G19/H19,G19/I19)</f>
        <v>0</v>
      </c>
      <c r="K19" s="107">
        <f>IF($E$6='Drop Box Names'!$B$43,IF($E$5='Drop Box Names'!$B$52,-PMT($E$7,I19,G19,0)-J19,-PMT($E$7,H19,G19,0)-J19),0)</f>
        <v>0</v>
      </c>
      <c r="L19" s="196">
        <f>IF('Production Data'!H31&lt;'Drop Box Names'!B66,0,J19+K19)</f>
        <v>0</v>
      </c>
      <c r="N19" s="65"/>
      <c r="O19" s="155"/>
      <c r="AI19" s="76">
        <f>Summary!$E$5</f>
        <v>57</v>
      </c>
    </row>
    <row r="20" spans="2:35" ht="12.75" customHeight="1" x14ac:dyDescent="0.25">
      <c r="B20" s="88" t="s">
        <v>167</v>
      </c>
      <c r="C20" s="247">
        <v>350</v>
      </c>
      <c r="D20" s="112">
        <f>ROUNDUP(Summary!$E$5/AI20,0)</f>
        <v>1</v>
      </c>
      <c r="E20" s="248">
        <v>0</v>
      </c>
      <c r="F20" s="236">
        <v>0.3</v>
      </c>
      <c r="G20" s="260">
        <f>IF('Production Data'!H31&lt;'Drop Box Names'!B66,0,IF($E$4='Drop Box Names'!$B$51,C20*D20*F20,C20*E20*F20))</f>
        <v>0</v>
      </c>
      <c r="H20" s="112">
        <v>7</v>
      </c>
      <c r="I20" s="248">
        <v>7</v>
      </c>
      <c r="J20" s="262">
        <f>IF($E$5='Drop Box Names'!$B$51,G20/H20,G20/I20)</f>
        <v>0</v>
      </c>
      <c r="K20" s="107">
        <f>IF($E$6='Drop Box Names'!$B$43,IF($E$5='Drop Box Names'!$B$52,-PMT($E$7,I20,G20,0)-J20,-PMT($E$7,H20,G20,0)-J20),0)</f>
        <v>0</v>
      </c>
      <c r="L20" s="196">
        <f>IF('Production Data'!H31&lt;'Drop Box Names'!B66,0,J20+K20)</f>
        <v>0</v>
      </c>
      <c r="N20" s="65" t="s">
        <v>424</v>
      </c>
      <c r="O20" s="157"/>
      <c r="AI20" s="76">
        <f>Summary!$E$5</f>
        <v>57</v>
      </c>
    </row>
    <row r="21" spans="2:35" ht="12.75" customHeight="1" x14ac:dyDescent="0.25">
      <c r="B21" s="88" t="s">
        <v>8</v>
      </c>
      <c r="C21" s="247">
        <v>50</v>
      </c>
      <c r="D21" s="112">
        <v>1</v>
      </c>
      <c r="E21" s="248">
        <v>0</v>
      </c>
      <c r="F21" s="236">
        <v>1</v>
      </c>
      <c r="G21" s="260">
        <f>IF($E$4='Drop Box Names'!$B$51,C21*D21*F21,C21*E21*F21)</f>
        <v>0</v>
      </c>
      <c r="H21" s="112">
        <v>7</v>
      </c>
      <c r="I21" s="248">
        <v>7</v>
      </c>
      <c r="J21" s="262">
        <f>IF($E$5='Drop Box Names'!$B$51,G21/H21,G21/I21)</f>
        <v>0</v>
      </c>
      <c r="K21" s="107">
        <f>IF($E$6='Drop Box Names'!$B$43,IF($E$5='Drop Box Names'!$B$52,-PMT($E$7,I21,G21,0)-J21,-PMT($E$7,H21,G21,0)-J21),0)</f>
        <v>0</v>
      </c>
      <c r="L21" s="196">
        <f>J21+K21</f>
        <v>0</v>
      </c>
      <c r="N21" s="65"/>
      <c r="O21" s="157"/>
      <c r="AI21" s="76"/>
    </row>
    <row r="22" spans="2:35" ht="12.75" customHeight="1" x14ac:dyDescent="0.25">
      <c r="B22" s="392" t="s">
        <v>419</v>
      </c>
      <c r="C22" s="393"/>
      <c r="D22" s="393"/>
      <c r="E22" s="393"/>
      <c r="F22" s="393"/>
      <c r="G22" s="393"/>
      <c r="H22" s="393"/>
      <c r="I22" s="393"/>
      <c r="J22" s="258">
        <f>SUM(J11:J21)</f>
        <v>175.71428571428569</v>
      </c>
      <c r="K22" s="257">
        <f>SUM(K11:K21)</f>
        <v>31.415151709097753</v>
      </c>
      <c r="L22" s="251">
        <f>SUM(L11:L21)</f>
        <v>207.12943742338345</v>
      </c>
      <c r="N22" s="65"/>
      <c r="AH22" s="119"/>
      <c r="AI22" s="158"/>
    </row>
    <row r="23" spans="2:35" ht="4.5" customHeight="1" x14ac:dyDescent="0.25">
      <c r="B23" s="360"/>
      <c r="C23" s="361"/>
      <c r="D23" s="361"/>
      <c r="E23" s="361"/>
      <c r="F23" s="361"/>
      <c r="G23" s="361"/>
      <c r="H23" s="361"/>
      <c r="I23" s="361"/>
      <c r="J23" s="361"/>
      <c r="K23" s="361"/>
      <c r="L23" s="362"/>
      <c r="N23" s="65"/>
      <c r="AH23" s="119"/>
      <c r="AI23" s="158"/>
    </row>
    <row r="24" spans="2:35" ht="39.75" customHeight="1" x14ac:dyDescent="0.25">
      <c r="B24" s="141"/>
      <c r="C24" s="102" t="s">
        <v>235</v>
      </c>
      <c r="D24" s="102" t="s">
        <v>234</v>
      </c>
      <c r="E24" s="102" t="s">
        <v>278</v>
      </c>
      <c r="F24" s="102" t="s">
        <v>532</v>
      </c>
      <c r="G24" s="102" t="s">
        <v>82</v>
      </c>
      <c r="H24" s="102" t="s">
        <v>273</v>
      </c>
      <c r="I24" s="102" t="s">
        <v>274</v>
      </c>
      <c r="J24" s="102" t="s">
        <v>435</v>
      </c>
      <c r="K24" s="102" t="s">
        <v>404</v>
      </c>
      <c r="L24" s="102" t="s">
        <v>436</v>
      </c>
      <c r="N24" s="65"/>
      <c r="AH24" s="119"/>
      <c r="AI24" s="158"/>
    </row>
    <row r="25" spans="2:35" ht="12.75" customHeight="1" x14ac:dyDescent="0.25">
      <c r="B25" s="105" t="s">
        <v>113</v>
      </c>
      <c r="C25" s="389"/>
      <c r="D25" s="390"/>
      <c r="E25" s="390"/>
      <c r="F25" s="390"/>
      <c r="G25" s="390"/>
      <c r="H25" s="390"/>
      <c r="I25" s="390"/>
      <c r="J25" s="390"/>
      <c r="K25" s="390"/>
      <c r="L25" s="391"/>
      <c r="N25" s="65"/>
      <c r="Q25" s="119"/>
      <c r="AH25" s="119" t="s">
        <v>284</v>
      </c>
      <c r="AI25" s="93" t="s">
        <v>83</v>
      </c>
    </row>
    <row r="26" spans="2:35" ht="12.75" customHeight="1" x14ac:dyDescent="0.25">
      <c r="B26" s="88" t="s">
        <v>13</v>
      </c>
      <c r="C26" s="247">
        <v>15</v>
      </c>
      <c r="D26" s="112">
        <f>ROUNDUP(Summary!$E$5/AI26,0)</f>
        <v>1</v>
      </c>
      <c r="E26" s="248">
        <v>1</v>
      </c>
      <c r="F26" s="236">
        <v>1</v>
      </c>
      <c r="G26" s="260">
        <f>IF('Production Data'!H28='Drop Box Names'!B30,0,IF($E$4='Drop Box Names'!$B$51,C26*D26*F26,C26*E26*F26))</f>
        <v>15</v>
      </c>
      <c r="H26" s="123">
        <v>5</v>
      </c>
      <c r="I26" s="235">
        <v>5</v>
      </c>
      <c r="J26" s="262">
        <f>IF('Production Data'!H28='Drop Box Names'!B30,0,IF($E$5='Drop Box Names'!$B$51,G26/H26,G26/I26))</f>
        <v>3</v>
      </c>
      <c r="K26" s="107">
        <f>IF($E$6='Drop Box Names'!$B$43,IF($E$5='Drop Box Names'!$B$52,-PMT($E$7,I26*12,G26,0),-PMT($E$7,H26*12,G26,0)),0)</f>
        <v>0.54199438107065867</v>
      </c>
      <c r="L26" s="196">
        <f>IF('Production Data'!H28='Drop Box Names'!B30,0,J26+K26)</f>
        <v>3.5419943810706584</v>
      </c>
      <c r="N26" s="65" t="str">
        <f>"Assuming a stocking rate of "&amp;AI26&amp;" chicks."</f>
        <v>Assuming a stocking rate of 75 chicks.</v>
      </c>
      <c r="Q26" s="119"/>
      <c r="AI26" s="159">
        <v>75</v>
      </c>
    </row>
    <row r="27" spans="2:35" ht="12.75" customHeight="1" x14ac:dyDescent="0.25">
      <c r="B27" s="88" t="s">
        <v>46</v>
      </c>
      <c r="C27" s="247">
        <v>3.1</v>
      </c>
      <c r="D27" s="112">
        <f>ROUNDUP(Summary!$E$5/AI27,0)</f>
        <v>3</v>
      </c>
      <c r="E27" s="248">
        <v>2</v>
      </c>
      <c r="F27" s="236">
        <v>1</v>
      </c>
      <c r="G27" s="260">
        <f>IF('Production Data'!H28='Drop Box Names'!B30,0,IF($E$4='Drop Box Names'!$B$51,C27*D27*F27,C27*E27*F27))</f>
        <v>6.2</v>
      </c>
      <c r="H27" s="123">
        <v>3</v>
      </c>
      <c r="I27" s="235">
        <v>5</v>
      </c>
      <c r="J27" s="262">
        <f>IF('Production Data'!H28='Drop Box Names'!B30,0,IF($E$5='Drop Box Names'!$B$51,G27/H27,G27/I27))</f>
        <v>1.24</v>
      </c>
      <c r="K27" s="107">
        <f>IF($E$6='Drop Box Names'!$B$43,IF($E$5='Drop Box Names'!$B$52,-PMT($E$7,I27*12,G27,0),-PMT($E$7,H27*12,G27,0)),0)</f>
        <v>0.22402434417587222</v>
      </c>
      <c r="L27" s="196">
        <f>IF('Production Data'!H28='Drop Box Names'!B30,0,J27+K27)</f>
        <v>1.4640243441758722</v>
      </c>
      <c r="N27" s="65" t="str">
        <f t="shared" ref="N27:N28" si="0">"Assuming a stocking rate of "&amp;AI27&amp;" chicks."</f>
        <v>Assuming a stocking rate of 25 chicks.</v>
      </c>
      <c r="Q27" s="119"/>
      <c r="AI27" s="79">
        <v>25</v>
      </c>
    </row>
    <row r="28" spans="2:35" ht="12.75" customHeight="1" x14ac:dyDescent="0.25">
      <c r="B28" s="88" t="s">
        <v>47</v>
      </c>
      <c r="C28" s="247">
        <v>6.1</v>
      </c>
      <c r="D28" s="112">
        <f>ROUNDUP(Summary!$E$5/AI28,0)</f>
        <v>3</v>
      </c>
      <c r="E28" s="248">
        <v>2</v>
      </c>
      <c r="F28" s="236">
        <v>1</v>
      </c>
      <c r="G28" s="260">
        <f>IF('Production Data'!H28='Drop Box Names'!B30,0,IF($E$4='Drop Box Names'!$B$51,C28*D28*F28,C28*E28*F28))</f>
        <v>12.2</v>
      </c>
      <c r="H28" s="123">
        <v>3</v>
      </c>
      <c r="I28" s="235">
        <v>5</v>
      </c>
      <c r="J28" s="262">
        <f>IF('Production Data'!H28='Drop Box Names'!B30,0,IF($E$5='Drop Box Names'!$B$51,G28/H28,G28/I28))</f>
        <v>2.44</v>
      </c>
      <c r="K28" s="107">
        <f>IF($E$6='Drop Box Names'!$B$43,IF($E$5='Drop Box Names'!$B$52,-PMT($E$7,I28*12,G28,0),-PMT($E$7,H28*12,G28,0)),0)</f>
        <v>0.44082209660413563</v>
      </c>
      <c r="L28" s="196">
        <f>IF('Production Data'!H28='Drop Box Names'!B30,0,J28+K28)</f>
        <v>2.8808220966041356</v>
      </c>
      <c r="N28" s="65" t="str">
        <f t="shared" si="0"/>
        <v>Assuming a stocking rate of 25 chicks.</v>
      </c>
      <c r="Q28" s="119"/>
      <c r="AI28" s="79">
        <v>25</v>
      </c>
    </row>
    <row r="29" spans="2:35" ht="12.75" customHeight="1" x14ac:dyDescent="0.25">
      <c r="B29" s="88" t="s">
        <v>48</v>
      </c>
      <c r="C29" s="247">
        <v>20</v>
      </c>
      <c r="D29" s="112">
        <f>ROUNDUP(Summary!$E$5/AI29,0)</f>
        <v>2</v>
      </c>
      <c r="E29" s="248">
        <v>1</v>
      </c>
      <c r="F29" s="236">
        <v>1</v>
      </c>
      <c r="G29" s="260">
        <f>IF($E$4='Drop Box Names'!$B$51,C29*D29*F29,C29*E29*F29)</f>
        <v>20</v>
      </c>
      <c r="H29" s="123">
        <v>3</v>
      </c>
      <c r="I29" s="235">
        <v>5</v>
      </c>
      <c r="J29" s="262">
        <f>IF($E$5='Drop Box Names'!$B$51,G29/H29,G29/I29)</f>
        <v>4</v>
      </c>
      <c r="K29" s="107">
        <f>IF($E$6='Drop Box Names'!$B$43,IF($E$5='Drop Box Names'!$B$52,-PMT($E$7,I29*12,G29,0),-PMT($E$7,H29*12,G29,0)),0)</f>
        <v>0.72265917476087815</v>
      </c>
      <c r="L29" s="196">
        <f t="shared" ref="L29:L36" si="1">J29+K29</f>
        <v>4.7226591747608779</v>
      </c>
      <c r="N29" s="65" t="str">
        <f>"Assuming a stocking rate of "&amp;AI29&amp;" birds."</f>
        <v>Assuming a stocking rate of 50 birds.</v>
      </c>
      <c r="Q29" s="119"/>
      <c r="AI29" s="79">
        <v>50</v>
      </c>
    </row>
    <row r="30" spans="2:35" ht="12.75" customHeight="1" x14ac:dyDescent="0.25">
      <c r="B30" s="88" t="s">
        <v>49</v>
      </c>
      <c r="C30" s="247">
        <v>13</v>
      </c>
      <c r="D30" s="112">
        <f>ROUNDUP(Summary!$E$5/AI30,0)</f>
        <v>2</v>
      </c>
      <c r="E30" s="248">
        <v>2</v>
      </c>
      <c r="F30" s="236">
        <v>1</v>
      </c>
      <c r="G30" s="260">
        <f>IF($E$4='Drop Box Names'!$B$51,C30*D30*F30,C30*E30*F30)</f>
        <v>26</v>
      </c>
      <c r="H30" s="123">
        <v>3</v>
      </c>
      <c r="I30" s="235">
        <v>5</v>
      </c>
      <c r="J30" s="262">
        <f>IF($E$5='Drop Box Names'!$B$51,G30/H30,G30/I30)</f>
        <v>5.2</v>
      </c>
      <c r="K30" s="107">
        <f>IF($E$6='Drop Box Names'!$B$43,IF($E$5='Drop Box Names'!$B$52,-PMT($E$7,I30*12,G30,0),-PMT($E$7,H30*12,G30,0)),0)</f>
        <v>0.93945692718914153</v>
      </c>
      <c r="L30" s="196">
        <f t="shared" si="1"/>
        <v>6.1394569271891415</v>
      </c>
      <c r="N30" s="65" t="str">
        <f>"Assuming a stocking rate of "&amp;AI30&amp;" birds."</f>
        <v>Assuming a stocking rate of 40 birds.</v>
      </c>
      <c r="AI30" s="79">
        <v>40</v>
      </c>
    </row>
    <row r="31" spans="2:35" ht="12.75" customHeight="1" x14ac:dyDescent="0.25">
      <c r="B31" s="88" t="s">
        <v>21</v>
      </c>
      <c r="C31" s="247">
        <v>50</v>
      </c>
      <c r="D31" s="112">
        <f>ROUNDUP(Summary!$E$5/AI31,0)</f>
        <v>1</v>
      </c>
      <c r="E31" s="248">
        <v>1</v>
      </c>
      <c r="F31" s="236">
        <v>1</v>
      </c>
      <c r="G31" s="260">
        <f>IF('Production Data'!H36='Drop Box Names'!B10,0,IF($E$4='Drop Box Names'!$B$51,C31*D31*F31,C31*E31*F31))</f>
        <v>50</v>
      </c>
      <c r="H31" s="112">
        <v>5</v>
      </c>
      <c r="I31" s="248">
        <v>7</v>
      </c>
      <c r="J31" s="262">
        <f>IF($E$5='Drop Box Names'!$B$51,G31/H31,G31/I31)</f>
        <v>7.1428571428571432</v>
      </c>
      <c r="K31" s="107">
        <f>IF($E$6='Drop Box Names'!$B$43,IF($E$5='Drop Box Names'!$B$52,-PMT($E$7,I31*12,G31,0),-PMT($E$7,H31*12,G31,0)),0)</f>
        <v>1.6366566273339662</v>
      </c>
      <c r="L31" s="196">
        <f>IF('Production Data'!H36='Drop Box Names'!B10,0,J31+K31)</f>
        <v>8.7795137701911088</v>
      </c>
      <c r="N31" s="47" t="s">
        <v>246</v>
      </c>
      <c r="O31" s="155"/>
      <c r="AI31" s="76">
        <f>Summary!$E$5</f>
        <v>57</v>
      </c>
    </row>
    <row r="32" spans="2:35" ht="12.75" customHeight="1" x14ac:dyDescent="0.25">
      <c r="B32" s="88" t="s">
        <v>22</v>
      </c>
      <c r="C32" s="247">
        <v>75</v>
      </c>
      <c r="D32" s="112">
        <f>ROUNDUP(Summary!$E$5/AI32,0)</f>
        <v>1</v>
      </c>
      <c r="E32" s="248">
        <v>0</v>
      </c>
      <c r="F32" s="236">
        <v>1</v>
      </c>
      <c r="G32" s="260">
        <f>IF('Production Data'!H39='Drop Box Names'!B10,0,IF('Production Data'!$H$37='Drop Box Names'!B14,0,IF($E$4='Drop Box Names'!$B$51,C32*D32*F32,C32*E32*F32)))</f>
        <v>0</v>
      </c>
      <c r="H32" s="112">
        <v>5</v>
      </c>
      <c r="I32" s="248">
        <v>5</v>
      </c>
      <c r="J32" s="262">
        <f>IF('Production Data'!$H$37='Drop Box Names'!B14,0,IF($E$5='Drop Box Names'!$B$51,G32/H32,G32/I32))</f>
        <v>0</v>
      </c>
      <c r="K32" s="107">
        <f>IF($E$6='Drop Box Names'!$B$43,IF($E$5='Drop Box Names'!$B$52,-PMT($E$7,I32*12,G32,0),-PMT($E$7,H32*12,G32,0)),0)</f>
        <v>0</v>
      </c>
      <c r="L32" s="196">
        <f>IF('Production Data'!H39='Drop Box Names'!B10,0,IF('Production Data'!$H$37='Drop Box Names'!B14,0,J32+K32))</f>
        <v>0</v>
      </c>
      <c r="N32" s="47" t="s">
        <v>247</v>
      </c>
      <c r="O32" s="155"/>
      <c r="AI32" s="76">
        <f>Summary!$E$5</f>
        <v>57</v>
      </c>
    </row>
    <row r="33" spans="2:35" ht="12.75" customHeight="1" x14ac:dyDescent="0.25">
      <c r="B33" s="88" t="s">
        <v>24</v>
      </c>
      <c r="C33" s="247">
        <v>13</v>
      </c>
      <c r="D33" s="112">
        <f>ROUNDUP(Summary!$E$5/AI33,0)</f>
        <v>2</v>
      </c>
      <c r="E33" s="248">
        <v>1</v>
      </c>
      <c r="F33" s="236">
        <v>1</v>
      </c>
      <c r="G33" s="260">
        <f>IF($E$4='Drop Box Names'!$B$51,C33*D33*F33,C33*E33*F33)</f>
        <v>13</v>
      </c>
      <c r="H33" s="123">
        <v>3</v>
      </c>
      <c r="I33" s="235">
        <v>5</v>
      </c>
      <c r="J33" s="262">
        <f>IF($E$5='Drop Box Names'!$B$51,G33/H33,G33/I33)</f>
        <v>2.6</v>
      </c>
      <c r="K33" s="107">
        <f>IF($E$6='Drop Box Names'!$B$43,IF($E$5='Drop Box Names'!$B$52,-PMT($E$7,I33*12,G33,0),-PMT($E$7,H33*12,G33,0)),0)</f>
        <v>0.46972846359457077</v>
      </c>
      <c r="L33" s="196">
        <f t="shared" si="1"/>
        <v>3.0697284635945707</v>
      </c>
      <c r="N33" s="65"/>
      <c r="AI33" s="79">
        <v>50</v>
      </c>
    </row>
    <row r="34" spans="2:35" ht="12.75" customHeight="1" x14ac:dyDescent="0.25">
      <c r="B34" s="88" t="s">
        <v>317</v>
      </c>
      <c r="C34" s="247">
        <v>12</v>
      </c>
      <c r="D34" s="112">
        <f>ROUNDUP(Summary!$E$5/AI34,0)</f>
        <v>1</v>
      </c>
      <c r="E34" s="248">
        <v>1</v>
      </c>
      <c r="F34" s="236">
        <v>1</v>
      </c>
      <c r="G34" s="260">
        <f>IF($E$4='Drop Box Names'!$B$51,C34*D34*F34,C34*E34*F34)</f>
        <v>12</v>
      </c>
      <c r="H34" s="123">
        <v>5</v>
      </c>
      <c r="I34" s="235">
        <v>5</v>
      </c>
      <c r="J34" s="262">
        <f>IF($E$5='Drop Box Names'!$B$51,G34/H34,G34/I34)</f>
        <v>2.4</v>
      </c>
      <c r="K34" s="107">
        <f>IF($E$6='Drop Box Names'!$B$43,IF($E$5='Drop Box Names'!$B$52,-PMT($E$7,I34*12,G34,0),-PMT($E$7,H34*12,G34,0)),0)</f>
        <v>0.43359550485652693</v>
      </c>
      <c r="L34" s="196">
        <f t="shared" si="1"/>
        <v>2.8335955048565267</v>
      </c>
      <c r="N34" s="65" t="s">
        <v>410</v>
      </c>
      <c r="AI34" s="76">
        <f>Summary!$E$5</f>
        <v>57</v>
      </c>
    </row>
    <row r="35" spans="2:35" ht="12.75" customHeight="1" x14ac:dyDescent="0.25">
      <c r="B35" s="88" t="s">
        <v>23</v>
      </c>
      <c r="C35" s="247">
        <v>20</v>
      </c>
      <c r="D35" s="112">
        <f>ROUNDUP(Summary!$E$5/AI35,0)</f>
        <v>1</v>
      </c>
      <c r="E35" s="248">
        <v>0</v>
      </c>
      <c r="F35" s="236">
        <v>1</v>
      </c>
      <c r="G35" s="260">
        <f>IF($E$4='Drop Box Names'!$B$51,C35*D35*F35,C35*E35*F35)</f>
        <v>0</v>
      </c>
      <c r="H35" s="123">
        <v>5</v>
      </c>
      <c r="I35" s="235">
        <v>5</v>
      </c>
      <c r="J35" s="262">
        <f>IF($E$5='Drop Box Names'!$B$51,G35/H35,G35/I35)</f>
        <v>0</v>
      </c>
      <c r="K35" s="107">
        <f>IF($E$6='Drop Box Names'!$B$43,IF($E$5='Drop Box Names'!$B$52,-PMT($E$7,I35*12,G35,0),-PMT($E$7,H35*12,G35,0)),0)</f>
        <v>0</v>
      </c>
      <c r="L35" s="196">
        <f t="shared" si="1"/>
        <v>0</v>
      </c>
      <c r="N35" s="65"/>
      <c r="AI35" s="76">
        <f>Summary!$E$5</f>
        <v>57</v>
      </c>
    </row>
    <row r="36" spans="2:35" ht="12.75" customHeight="1" x14ac:dyDescent="0.25">
      <c r="B36" s="88" t="s">
        <v>240</v>
      </c>
      <c r="C36" s="247">
        <v>100</v>
      </c>
      <c r="D36" s="172">
        <f>ROUNDUP(Summary!$E$5/AI36,0)</f>
        <v>1</v>
      </c>
      <c r="E36" s="248">
        <v>1</v>
      </c>
      <c r="F36" s="236">
        <v>1</v>
      </c>
      <c r="G36" s="260">
        <f>IF($E$4='Drop Box Names'!$B$51,C36*D36*F36,C36*E36*F36)</f>
        <v>100</v>
      </c>
      <c r="H36" s="112">
        <v>5</v>
      </c>
      <c r="I36" s="248">
        <v>5</v>
      </c>
      <c r="J36" s="262">
        <f>IF($E$5='Drop Box Names'!$B$51,G36/H36,G36/I36)</f>
        <v>20</v>
      </c>
      <c r="K36" s="107">
        <f>IF($E$6='Drop Box Names'!$B$43,IF($E$5='Drop Box Names'!$B$52,-PMT($E$7,I36*12,G36,0),-PMT($E$7,H36*12,G36,0)),0)</f>
        <v>3.6132958738043905</v>
      </c>
      <c r="L36" s="196">
        <f t="shared" si="1"/>
        <v>23.61329587380439</v>
      </c>
      <c r="N36" s="47" t="s">
        <v>244</v>
      </c>
      <c r="O36" s="155"/>
      <c r="AI36" s="76">
        <f>Summary!$E$5</f>
        <v>57</v>
      </c>
    </row>
    <row r="37" spans="2:35" ht="12.75" customHeight="1" x14ac:dyDescent="0.25">
      <c r="B37" s="88" t="s">
        <v>8</v>
      </c>
      <c r="C37" s="247">
        <v>50</v>
      </c>
      <c r="D37" s="172">
        <v>1</v>
      </c>
      <c r="E37" s="248">
        <v>0</v>
      </c>
      <c r="F37" s="236">
        <v>1</v>
      </c>
      <c r="G37" s="260">
        <f>IF($E$4='Drop Box Names'!$B$51,C37*D37*F37,C37*E37*F37)</f>
        <v>0</v>
      </c>
      <c r="H37" s="112">
        <v>5</v>
      </c>
      <c r="I37" s="248">
        <v>5</v>
      </c>
      <c r="J37" s="262">
        <f>IF($E$5='Drop Box Names'!$B$51,G37/H37,G37/I37)</f>
        <v>0</v>
      </c>
      <c r="K37" s="107">
        <f>IF($E$6='Drop Box Names'!$B$43,IF($E$5='Drop Box Names'!$B$52,-PMT($E$7,I37*12,G37,0),-PMT($E$7,H37*12,G37,0)),0)</f>
        <v>0</v>
      </c>
      <c r="L37" s="196">
        <f>J37+K37</f>
        <v>0</v>
      </c>
      <c r="N37" s="47"/>
      <c r="O37" s="155"/>
      <c r="AI37" s="76"/>
    </row>
    <row r="38" spans="2:35" ht="12.75" customHeight="1" x14ac:dyDescent="0.25">
      <c r="B38" s="392" t="s">
        <v>316</v>
      </c>
      <c r="C38" s="393"/>
      <c r="D38" s="393"/>
      <c r="E38" s="393"/>
      <c r="F38" s="393"/>
      <c r="G38" s="393"/>
      <c r="H38" s="393"/>
      <c r="I38" s="393"/>
      <c r="J38" s="258">
        <f>SUM(J26:J37)</f>
        <v>48.022857142857141</v>
      </c>
      <c r="K38" s="257">
        <f>SUM(K26:K37)</f>
        <v>9.0222333933901417</v>
      </c>
      <c r="L38" s="251">
        <f>SUM(L26:L37)</f>
        <v>57.04509053624728</v>
      </c>
      <c r="N38" s="65"/>
      <c r="AI38" s="160"/>
    </row>
    <row r="39" spans="2:35" ht="12.75" customHeight="1" x14ac:dyDescent="0.25">
      <c r="B39" s="360"/>
      <c r="C39" s="361"/>
      <c r="D39" s="361"/>
      <c r="E39" s="361"/>
      <c r="F39" s="361"/>
      <c r="G39" s="361"/>
      <c r="H39" s="361"/>
      <c r="I39" s="361"/>
      <c r="J39" s="361"/>
      <c r="K39" s="361"/>
      <c r="L39" s="362"/>
      <c r="N39" s="259"/>
      <c r="AI39" s="160"/>
    </row>
    <row r="40" spans="2:35" ht="12.75" customHeight="1" x14ac:dyDescent="0.25">
      <c r="B40" s="383" t="s">
        <v>116</v>
      </c>
      <c r="C40" s="384"/>
      <c r="D40" s="384"/>
      <c r="E40" s="384"/>
      <c r="F40" s="384"/>
      <c r="G40" s="384"/>
      <c r="H40" s="384"/>
      <c r="I40" s="384"/>
      <c r="J40" s="384"/>
      <c r="K40" s="385"/>
      <c r="L40" s="104">
        <f>L22+L38</f>
        <v>264.17452795963072</v>
      </c>
      <c r="N40" s="65"/>
      <c r="AI40" s="143"/>
    </row>
    <row r="41" spans="2:35" ht="12.75" customHeight="1" x14ac:dyDescent="0.25">
      <c r="B41" s="360"/>
      <c r="C41" s="361"/>
      <c r="D41" s="361"/>
      <c r="E41" s="361"/>
      <c r="F41" s="361"/>
      <c r="G41" s="361"/>
      <c r="H41" s="361"/>
      <c r="I41" s="361"/>
      <c r="J41" s="361"/>
      <c r="K41" s="361"/>
      <c r="L41" s="362"/>
      <c r="N41" s="65"/>
    </row>
    <row r="42" spans="2:35" ht="12.75" customHeight="1" x14ac:dyDescent="0.25"/>
    <row r="43" spans="2:35" ht="12.75" customHeight="1" x14ac:dyDescent="0.25">
      <c r="B43" s="51"/>
      <c r="C43" s="18"/>
      <c r="D43" s="18"/>
      <c r="E43" s="18"/>
      <c r="F43" s="18"/>
      <c r="G43" s="18"/>
      <c r="H43" s="20"/>
      <c r="I43" s="20"/>
      <c r="J43" s="20"/>
      <c r="K43" s="20"/>
      <c r="L43" s="20"/>
      <c r="AI43" s="22"/>
    </row>
    <row r="44" spans="2:35" ht="12.75" customHeight="1" x14ac:dyDescent="0.25">
      <c r="B44" s="161"/>
      <c r="C44" s="162"/>
      <c r="D44" s="49"/>
      <c r="E44" s="49"/>
      <c r="F44" s="49"/>
      <c r="G44" s="157"/>
      <c r="H44" s="49"/>
      <c r="I44" s="49"/>
      <c r="J44" s="49"/>
      <c r="K44" s="49"/>
      <c r="L44" s="49"/>
      <c r="AI44" s="163"/>
    </row>
    <row r="45" spans="2:35" x14ac:dyDescent="0.25">
      <c r="B45" s="161"/>
      <c r="C45" s="162"/>
      <c r="D45" s="49"/>
      <c r="E45" s="49"/>
      <c r="F45" s="49"/>
      <c r="G45" s="157"/>
      <c r="H45" s="49"/>
      <c r="I45" s="49"/>
      <c r="J45" s="49"/>
      <c r="K45" s="49"/>
      <c r="L45" s="49"/>
      <c r="AI45" s="163"/>
    </row>
    <row r="47" spans="2:35" x14ac:dyDescent="0.25">
      <c r="H47" s="161"/>
      <c r="I47" s="161"/>
      <c r="J47" s="161"/>
      <c r="K47" s="161"/>
      <c r="L47" s="161"/>
      <c r="M47" s="161"/>
      <c r="AH47" s="161"/>
      <c r="AI47" s="161"/>
    </row>
    <row r="48" spans="2:35" x14ac:dyDescent="0.25">
      <c r="B48" s="161"/>
      <c r="C48" s="161"/>
      <c r="D48" s="161"/>
      <c r="E48" s="161"/>
      <c r="F48" s="161"/>
      <c r="H48" s="94"/>
      <c r="I48" s="94"/>
      <c r="J48" s="94"/>
      <c r="K48" s="94"/>
      <c r="L48" s="94"/>
      <c r="M48" s="94"/>
      <c r="AH48" s="94"/>
      <c r="AI48" s="76"/>
    </row>
    <row r="49" spans="1:35" x14ac:dyDescent="0.25">
      <c r="B49" s="94"/>
      <c r="C49" s="76"/>
      <c r="D49" s="94"/>
      <c r="E49" s="94"/>
      <c r="F49" s="94"/>
      <c r="H49" s="79"/>
      <c r="I49" s="79"/>
      <c r="J49" s="79"/>
      <c r="K49" s="79"/>
      <c r="L49" s="79"/>
      <c r="M49" s="157"/>
      <c r="AH49" s="157"/>
      <c r="AI49" s="164"/>
    </row>
    <row r="50" spans="1:35" x14ac:dyDescent="0.25">
      <c r="B50" s="79"/>
      <c r="C50" s="164"/>
      <c r="D50" s="164"/>
      <c r="E50" s="164"/>
      <c r="F50" s="164"/>
      <c r="H50" s="79"/>
      <c r="I50" s="79"/>
      <c r="J50" s="79"/>
      <c r="K50" s="79"/>
      <c r="L50" s="79"/>
      <c r="M50" s="164"/>
      <c r="AH50" s="164"/>
      <c r="AI50" s="164"/>
    </row>
    <row r="51" spans="1:35" x14ac:dyDescent="0.25">
      <c r="B51" s="79"/>
      <c r="C51" s="164"/>
      <c r="D51" s="164"/>
      <c r="E51" s="164"/>
      <c r="F51" s="164"/>
      <c r="H51" s="79"/>
      <c r="I51" s="79"/>
      <c r="J51" s="79"/>
      <c r="K51" s="79"/>
      <c r="L51" s="79"/>
      <c r="M51" s="157"/>
      <c r="AH51" s="157"/>
      <c r="AI51" s="164"/>
    </row>
    <row r="52" spans="1:35" x14ac:dyDescent="0.25">
      <c r="B52" s="79"/>
      <c r="C52" s="164"/>
      <c r="D52" s="164"/>
      <c r="E52" s="164"/>
      <c r="F52" s="164"/>
      <c r="H52" s="79"/>
      <c r="I52" s="79"/>
      <c r="J52" s="79"/>
      <c r="K52" s="79"/>
      <c r="L52" s="79"/>
      <c r="M52" s="157"/>
      <c r="AH52" s="157"/>
      <c r="AI52" s="164"/>
    </row>
    <row r="53" spans="1:35" x14ac:dyDescent="0.25">
      <c r="B53" s="79"/>
      <c r="C53" s="164"/>
      <c r="D53" s="164"/>
      <c r="E53" s="164"/>
      <c r="F53" s="164"/>
      <c r="H53" s="79"/>
      <c r="I53" s="79"/>
      <c r="J53" s="79"/>
      <c r="K53" s="79"/>
      <c r="L53" s="79"/>
      <c r="M53" s="157"/>
      <c r="AH53" s="157"/>
      <c r="AI53" s="164"/>
    </row>
    <row r="54" spans="1:35" x14ac:dyDescent="0.25">
      <c r="B54" s="79"/>
      <c r="C54" s="164"/>
      <c r="D54" s="164"/>
      <c r="E54" s="164"/>
      <c r="F54" s="164"/>
      <c r="H54" s="79"/>
      <c r="I54" s="79"/>
      <c r="J54" s="79"/>
      <c r="K54" s="79"/>
      <c r="L54" s="79"/>
      <c r="M54" s="157"/>
      <c r="AH54" s="157"/>
      <c r="AI54" s="164"/>
    </row>
    <row r="55" spans="1:35" x14ac:dyDescent="0.25">
      <c r="H55" s="79"/>
      <c r="I55" s="79"/>
      <c r="J55" s="79"/>
      <c r="K55" s="79"/>
      <c r="L55" s="79"/>
      <c r="M55" s="157"/>
      <c r="AH55" s="157"/>
      <c r="AI55" s="164"/>
    </row>
    <row r="59" spans="1:35" x14ac:dyDescent="0.25">
      <c r="A59" s="137"/>
      <c r="B59" s="137"/>
      <c r="C59" s="137"/>
      <c r="D59" s="137"/>
      <c r="E59" s="137"/>
      <c r="F59" s="137"/>
      <c r="G59" s="137"/>
      <c r="H59" s="137"/>
      <c r="I59" s="137"/>
      <c r="J59" s="137"/>
      <c r="K59" s="137"/>
      <c r="L59" s="137"/>
      <c r="AI59" s="137"/>
    </row>
  </sheetData>
  <sheetProtection algorithmName="SHA-512" hashValue="HTqdMCEolpj6+C8PvlcnEnm0EKZUf/EEJit/D5lhhGmYSxKgd1AxQeOo+kEHXQGUcVQ27gOetr51atQVTMjO0g==" saltValue="vP1B5HxS2v/icdXHaH6Vgw==" spinCount="100000" sheet="1" formatCells="0" formatColumns="0" formatRows="0"/>
  <mergeCells count="19">
    <mergeCell ref="B2:L2"/>
    <mergeCell ref="B5:D5"/>
    <mergeCell ref="B4:D4"/>
    <mergeCell ref="E5:F5"/>
    <mergeCell ref="E4:F4"/>
    <mergeCell ref="B41:L41"/>
    <mergeCell ref="B40:K40"/>
    <mergeCell ref="B3:L3"/>
    <mergeCell ref="B8:L8"/>
    <mergeCell ref="B23:L23"/>
    <mergeCell ref="C25:L25"/>
    <mergeCell ref="C10:L10"/>
    <mergeCell ref="B39:L39"/>
    <mergeCell ref="B7:D7"/>
    <mergeCell ref="B6:D6"/>
    <mergeCell ref="B38:I38"/>
    <mergeCell ref="B22:I22"/>
    <mergeCell ref="E7:F7"/>
    <mergeCell ref="E6:F6"/>
  </mergeCells>
  <dataValidations count="2">
    <dataValidation type="list" allowBlank="1" showInputMessage="1" showErrorMessage="1" sqref="G4:G5" xr:uid="{00000000-0002-0000-0200-000000000000}">
      <formula1>$B$51:$B$52</formula1>
    </dataValidation>
    <dataValidation type="list" allowBlank="1" showInputMessage="1" showErrorMessage="1" sqref="G6" xr:uid="{00000000-0002-0000-0200-000001000000}">
      <formula1>$B$43:$B$44</formula1>
    </dataValidation>
  </dataValidations>
  <pageMargins left="0.7" right="0.7" top="0.75" bottom="0.75" header="0.3" footer="0.3"/>
  <pageSetup scale="80" orientation="landscape" horizontalDpi="4294967295" verticalDpi="4294967295" r:id="rId1"/>
  <legacyDrawing r:id="rId2"/>
  <extLst>
    <ext xmlns:x14="http://schemas.microsoft.com/office/spreadsheetml/2009/9/main" uri="{78C0D931-6437-407d-A8EE-F0AAD7539E65}">
      <x14:conditionalFormattings>
        <x14:conditionalFormatting xmlns:xm="http://schemas.microsoft.com/office/excel/2006/main">
          <x14:cfRule type="expression" priority="136" id="{4D36BE36-617D-44E8-9791-2C2B23DD9E5D}">
            <xm:f>'Production Data'!$H$28='Drop Box Names'!$B$30</xm:f>
            <x14:dxf>
              <font>
                <color theme="0"/>
              </font>
            </x14:dxf>
          </x14:cfRule>
          <xm:sqref>B11:L11 N11 B26:L28 N26:N28</xm:sqref>
        </x14:conditionalFormatting>
        <x14:conditionalFormatting xmlns:xm="http://schemas.microsoft.com/office/excel/2006/main">
          <x14:cfRule type="expression" priority="13" id="{63CA1A2E-D5E3-42F7-AAA4-4024157EC689}">
            <xm:f>'Production Data'!$H$36='Drop Box Names'!$B$11</xm:f>
            <x14:dxf>
              <font>
                <color theme="0"/>
              </font>
            </x14:dxf>
          </x14:cfRule>
          <xm:sqref>B12:L12</xm:sqref>
        </x14:conditionalFormatting>
        <x14:conditionalFormatting xmlns:xm="http://schemas.microsoft.com/office/excel/2006/main">
          <x14:cfRule type="expression" priority="72" id="{DA94594F-F6A4-4890-B20B-621FDA92E5B7}">
            <xm:f>'Production Data'!$H$37='Drop Box Names'!$B$14</xm:f>
            <x14:dxf>
              <font>
                <color theme="0"/>
              </font>
            </x14:dxf>
          </x14:cfRule>
          <xm:sqref>B13:L13 N13 B32:L32 N32</xm:sqref>
        </x14:conditionalFormatting>
        <x14:conditionalFormatting xmlns:xm="http://schemas.microsoft.com/office/excel/2006/main">
          <x14:cfRule type="expression" priority="76" id="{28A8012B-C324-457C-B9E3-F526A35B421F}">
            <xm:f>'Production Data'!$H$37='Drop Box Names'!$B$13</xm:f>
            <x14:dxf>
              <font>
                <color theme="0"/>
              </font>
            </x14:dxf>
          </x14:cfRule>
          <xm:sqref>B14:L14</xm:sqref>
        </x14:conditionalFormatting>
        <x14:conditionalFormatting xmlns:xm="http://schemas.microsoft.com/office/excel/2006/main">
          <x14:cfRule type="expression" priority="79" id="{B0AE65B7-0D86-47A7-91BC-1035398E3D9F}">
            <xm:f>'Production Data'!$H$39='Drop Box Names'!$B$17</xm:f>
            <x14:dxf>
              <font>
                <color theme="0"/>
              </font>
            </x14:dxf>
          </x14:cfRule>
          <xm:sqref>B15:L15</xm:sqref>
        </x14:conditionalFormatting>
        <x14:conditionalFormatting xmlns:xm="http://schemas.microsoft.com/office/excel/2006/main">
          <x14:cfRule type="expression" priority="126" id="{594CF6F0-441A-41D0-9609-DCE68AE50052}">
            <xm:f>'Production Data'!$H$39='Drop Box Names'!$B$16</xm:f>
            <x14:dxf>
              <font>
                <color theme="0"/>
              </font>
            </x14:dxf>
          </x14:cfRule>
          <xm:sqref>B15:L17 N16:N17</xm:sqref>
        </x14:conditionalFormatting>
        <x14:conditionalFormatting xmlns:xm="http://schemas.microsoft.com/office/excel/2006/main">
          <x14:cfRule type="expression" priority="80" id="{31121E83-0595-4D66-A93F-74E18A7EF2A3}">
            <xm:f>'Production Data'!$H$39='Drop Box Names'!$B$18</xm:f>
            <x14:dxf>
              <font>
                <color theme="0"/>
              </font>
            </x14:dxf>
          </x14:cfRule>
          <xm:sqref>B16:L16 N16</xm:sqref>
        </x14:conditionalFormatting>
        <x14:conditionalFormatting xmlns:xm="http://schemas.microsoft.com/office/excel/2006/main">
          <x14:cfRule type="expression" priority="125" id="{E87BCA7D-E50E-4D88-8D4D-E55CAEB777C0}">
            <xm:f>'Production Data'!$H$41='Drop Box Names'!$B$41</xm:f>
            <x14:dxf>
              <font>
                <color theme="0"/>
              </font>
            </x14:dxf>
          </x14:cfRule>
          <xm:sqref>B18:L18 N18</xm:sqref>
        </x14:conditionalFormatting>
        <x14:conditionalFormatting xmlns:xm="http://schemas.microsoft.com/office/excel/2006/main">
          <x14:cfRule type="expression" priority="140" id="{1660C400-AFCA-4942-91DA-C3F0ACFF34AB}">
            <xm:f>'Production Data'!$H$31&lt;'Drop Box Names'!$B$66</xm:f>
            <x14:dxf>
              <font>
                <color theme="0"/>
              </font>
            </x14:dxf>
          </x14:cfRule>
          <xm:sqref>B19:L20</xm:sqref>
        </x14:conditionalFormatting>
        <x14:conditionalFormatting xmlns:xm="http://schemas.microsoft.com/office/excel/2006/main">
          <x14:cfRule type="expression" priority="47" id="{552B6F65-CB4A-4663-9649-45346568F1EC}">
            <xm:f>$E$4='Drop Box Names'!$B$51</xm:f>
            <x14:dxf>
              <font>
                <color theme="0"/>
              </font>
            </x14:dxf>
          </x14:cfRule>
          <xm:sqref>E9 E11:E21 E24 E26:E37</xm:sqref>
        </x14:conditionalFormatting>
        <x14:conditionalFormatting xmlns:xm="http://schemas.microsoft.com/office/excel/2006/main">
          <x14:cfRule type="expression" priority="51" id="{9192C64C-3BD1-46E1-8EBD-A3598CDC62D8}">
            <xm:f>$E$5='Drop Box Names'!$B$51</xm:f>
            <x14:dxf>
              <font>
                <color theme="0"/>
              </font>
            </x14:dxf>
          </x14:cfRule>
          <xm:sqref>I9 I11:I21 I24 I26:I37</xm:sqref>
        </x14:conditionalFormatting>
        <x14:conditionalFormatting xmlns:xm="http://schemas.microsoft.com/office/excel/2006/main">
          <x14:cfRule type="expression" priority="101" id="{CBF91B77-5E48-4C52-9797-7AD23EB82890}">
            <xm:f>$E$6='Drop Box Names'!$B$44</xm:f>
            <x14:dxf>
              <font>
                <color theme="0"/>
              </font>
            </x14:dxf>
          </x14:cfRule>
          <xm:sqref>K9 K11:K22 K24 K26:K38</xm:sqref>
        </x14:conditionalFormatting>
        <x14:conditionalFormatting xmlns:xm="http://schemas.microsoft.com/office/excel/2006/main">
          <x14:cfRule type="expression" priority="4" id="{81A5D0DC-5BC3-4094-A969-1C8DA7610E88}">
            <xm:f>'Production Data'!$H$36='Drop Box Names'!$B$10</xm:f>
            <x14:dxf>
              <font>
                <color theme="0"/>
              </font>
            </x14:dxf>
          </x14:cfRule>
          <xm:sqref>N13 B13:L14 B31:L32 N31:N32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'Drop Box Names'!$B$51:$B$52</xm:f>
          </x14:formula1>
          <xm:sqref>E4:E5</xm:sqref>
        </x14:dataValidation>
        <x14:dataValidation type="list" allowBlank="1" showInputMessage="1" showErrorMessage="1" xr:uid="{00000000-0002-0000-0200-000003000000}">
          <x14:formula1>
            <xm:f>'Drop Box Names'!$B$43:$B$44</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U85"/>
  <sheetViews>
    <sheetView showGridLines="0" zoomScaleNormal="100" workbookViewId="0">
      <selection activeCell="K2" sqref="K2"/>
    </sheetView>
  </sheetViews>
  <sheetFormatPr defaultColWidth="9" defaultRowHeight="12.75" x14ac:dyDescent="0.25"/>
  <cols>
    <col min="1" max="1" width="5.140625" style="44" customWidth="1"/>
    <col min="2" max="2" width="5.85546875" style="44" customWidth="1"/>
    <col min="3" max="3" width="13.28515625" style="44" customWidth="1"/>
    <col min="4" max="4" width="13" style="44" customWidth="1"/>
    <col min="5" max="6" width="11.7109375" style="44" customWidth="1"/>
    <col min="7" max="7" width="11.42578125" style="44" customWidth="1"/>
    <col min="8" max="8" width="11.5703125" style="44" customWidth="1"/>
    <col min="9" max="9" width="10.5703125" style="44" customWidth="1"/>
    <col min="10" max="10" width="11" style="44" customWidth="1"/>
    <col min="11" max="11" width="5.140625" style="44" customWidth="1"/>
    <col min="12" max="12" width="14.85546875" style="44" customWidth="1"/>
    <col min="13" max="17" width="11.7109375" style="44" customWidth="1"/>
    <col min="18" max="16384" width="9" style="44"/>
  </cols>
  <sheetData>
    <row r="1" spans="1:17" ht="12.75" customHeight="1" x14ac:dyDescent="0.25"/>
    <row r="2" spans="1:17" ht="15.75" customHeight="1" x14ac:dyDescent="0.25">
      <c r="B2" s="398" t="str">
        <f>"Layer Production Costs and Returns, weighted average for "&amp;E9&amp;" years"</f>
        <v>Layer Production Costs and Returns, weighted average for 1 years</v>
      </c>
      <c r="C2" s="398"/>
      <c r="D2" s="398"/>
      <c r="E2" s="398"/>
      <c r="F2" s="398"/>
      <c r="G2" s="398"/>
      <c r="H2" s="398"/>
      <c r="I2" s="398"/>
      <c r="J2" s="398"/>
      <c r="K2" s="113"/>
      <c r="L2" s="228"/>
    </row>
    <row r="3" spans="1:17" ht="12.75" customHeight="1" x14ac:dyDescent="0.25">
      <c r="B3" s="326"/>
      <c r="C3" s="326"/>
      <c r="D3" s="326"/>
      <c r="E3" s="326"/>
      <c r="F3" s="326"/>
      <c r="G3" s="326"/>
      <c r="H3" s="326"/>
      <c r="I3" s="326"/>
      <c r="J3" s="326"/>
    </row>
    <row r="4" spans="1:17" ht="12.75" customHeight="1" x14ac:dyDescent="0.25">
      <c r="A4" s="48"/>
      <c r="B4" s="419" t="s">
        <v>2</v>
      </c>
      <c r="C4" s="419"/>
      <c r="D4" s="419"/>
      <c r="E4" s="420"/>
      <c r="F4" s="420"/>
      <c r="G4" s="420"/>
      <c r="H4" s="420"/>
      <c r="I4" s="420"/>
      <c r="J4" s="420"/>
      <c r="K4" s="114"/>
      <c r="L4" s="48"/>
      <c r="M4" s="48"/>
    </row>
    <row r="5" spans="1:17" ht="12.75" customHeight="1" x14ac:dyDescent="0.25">
      <c r="A5" s="48"/>
      <c r="B5" s="88"/>
      <c r="C5" s="347" t="s">
        <v>348</v>
      </c>
      <c r="D5" s="349"/>
      <c r="E5" s="106">
        <f>'Production Data'!H31</f>
        <v>57</v>
      </c>
      <c r="F5" s="88"/>
      <c r="G5" s="347" t="s">
        <v>50</v>
      </c>
      <c r="H5" s="348"/>
      <c r="I5" s="349"/>
      <c r="J5" s="175">
        <f>IF('Production Data'!H54='Drop Box Names'!B32,'Production Data'!I56,'Production Data'!H56)</f>
        <v>0.05</v>
      </c>
      <c r="K5" s="48"/>
      <c r="L5" s="363" t="s">
        <v>276</v>
      </c>
      <c r="M5" s="363"/>
      <c r="N5" s="363"/>
      <c r="O5" s="363"/>
      <c r="P5" s="51"/>
    </row>
    <row r="6" spans="1:17" ht="12.75" customHeight="1" x14ac:dyDescent="0.25">
      <c r="A6" s="48"/>
      <c r="B6" s="88"/>
      <c r="C6" s="347" t="s">
        <v>349</v>
      </c>
      <c r="D6" s="349"/>
      <c r="E6" s="173">
        <f>IF('Production Data'!H28='Drop Box Names'!B29,IF('Production Data'!H60='Drop Box Names'!B32,'Production Data'!I61,'Production Data'!H61),0)</f>
        <v>0.05</v>
      </c>
      <c r="F6" s="88"/>
      <c r="G6" s="350" t="s">
        <v>306</v>
      </c>
      <c r="H6" s="351"/>
      <c r="I6" s="358"/>
      <c r="J6" s="174">
        <f>'Production Data'!H9</f>
        <v>6</v>
      </c>
      <c r="K6" s="48"/>
      <c r="L6" s="89"/>
      <c r="M6" s="112" t="s">
        <v>93</v>
      </c>
      <c r="N6" s="112" t="s">
        <v>92</v>
      </c>
      <c r="O6" s="112" t="s">
        <v>91</v>
      </c>
    </row>
    <row r="7" spans="1:17" ht="12.75" customHeight="1" x14ac:dyDescent="0.25">
      <c r="A7" s="48"/>
      <c r="B7" s="88"/>
      <c r="C7" s="347" t="s">
        <v>308</v>
      </c>
      <c r="D7" s="349"/>
      <c r="E7" s="173">
        <f>IF('Production Data'!H64='Drop Box Names'!B32,'Production Data'!I65,'Production Data'!H65)</f>
        <v>0.05</v>
      </c>
      <c r="F7" s="88"/>
      <c r="G7" s="350" t="s">
        <v>164</v>
      </c>
      <c r="H7" s="351"/>
      <c r="I7" s="358"/>
      <c r="J7" s="299">
        <v>0.7</v>
      </c>
      <c r="K7" s="48"/>
      <c r="L7" s="115" t="s">
        <v>303</v>
      </c>
      <c r="M7" s="116">
        <f>'Egg Production, Feed Intake'!J11*(1-J10)</f>
        <v>1099.921875</v>
      </c>
      <c r="N7" s="116">
        <f>'Egg Production, Feed Intake'!J13*(1-J10)</f>
        <v>876.79990234374998</v>
      </c>
      <c r="O7" s="116">
        <f>'Egg Production, Feed Intake'!J15*(1-J10)</f>
        <v>631.97915039062502</v>
      </c>
    </row>
    <row r="8" spans="1:17" ht="12.75" customHeight="1" x14ac:dyDescent="0.25">
      <c r="A8" s="48"/>
      <c r="B8" s="88"/>
      <c r="C8" s="347" t="s">
        <v>293</v>
      </c>
      <c r="D8" s="349"/>
      <c r="E8" s="106">
        <f>'Production Data'!J80</f>
        <v>250</v>
      </c>
      <c r="F8" s="88"/>
      <c r="G8" s="347" t="s">
        <v>20</v>
      </c>
      <c r="H8" s="348"/>
      <c r="I8" s="349"/>
      <c r="J8" s="176">
        <f>J6*J7</f>
        <v>4.1999999999999993</v>
      </c>
      <c r="K8" s="48"/>
      <c r="L8" s="115" t="s">
        <v>248</v>
      </c>
      <c r="M8" s="117">
        <f>(M7*$G$16)+J20</f>
        <v>5106.6371250000002</v>
      </c>
      <c r="N8" s="117">
        <f>(N7*$G$16)+J20</f>
        <v>4155.4329257812506</v>
      </c>
      <c r="O8" s="117">
        <f>(O7*$G$16)+J20</f>
        <v>3111.7234042968753</v>
      </c>
    </row>
    <row r="9" spans="1:17" ht="12.75" customHeight="1" x14ac:dyDescent="0.25">
      <c r="A9" s="48"/>
      <c r="B9" s="88"/>
      <c r="C9" s="347" t="s">
        <v>102</v>
      </c>
      <c r="D9" s="349"/>
      <c r="E9" s="174">
        <f>'Production Data'!H6</f>
        <v>1</v>
      </c>
      <c r="F9" s="88"/>
      <c r="G9" s="350" t="s">
        <v>125</v>
      </c>
      <c r="H9" s="351"/>
      <c r="I9" s="358"/>
      <c r="J9" s="177">
        <f>'Production Data'!E24</f>
        <v>0.10000000000000003</v>
      </c>
      <c r="L9" s="115" t="s">
        <v>302</v>
      </c>
      <c r="M9" s="118">
        <f>M8-$J$54</f>
        <v>334.75533662370253</v>
      </c>
      <c r="N9" s="118">
        <f>N8-$J$54</f>
        <v>-616.4488625950471</v>
      </c>
      <c r="O9" s="118">
        <f>O8-$J$54</f>
        <v>-1660.1583840794224</v>
      </c>
    </row>
    <row r="10" spans="1:17" ht="12.75" customHeight="1" x14ac:dyDescent="0.25">
      <c r="A10" s="48"/>
      <c r="B10" s="88"/>
      <c r="C10" s="350" t="s">
        <v>90</v>
      </c>
      <c r="D10" s="358"/>
      <c r="E10" s="123">
        <f>IF($E$9='Drop Box Names'!B4,'Egg Production, Feed Intake'!H11,IF($E$9='Drop Box Names'!B5,'Egg Production, Feed Intake'!H12,IF($E$9='Drop Box Names'!B6,'Egg Production, Feed Intake'!H13,IF($E$9='Drop Box Names'!B7,'Egg Production, Feed Intake'!H14,IF($E$9='Drop Box Names'!B8,'Egg Production, Feed Intake'!H15)))))</f>
        <v>250</v>
      </c>
      <c r="F10" s="88"/>
      <c r="G10" s="350" t="s">
        <v>131</v>
      </c>
      <c r="H10" s="351"/>
      <c r="I10" s="358"/>
      <c r="J10" s="178">
        <f>'Production Data'!E18</f>
        <v>5.0000000000000044E-2</v>
      </c>
      <c r="K10" s="48"/>
      <c r="L10" s="421" t="s">
        <v>430</v>
      </c>
      <c r="M10" s="422"/>
      <c r="N10" s="422"/>
      <c r="O10" s="423"/>
      <c r="P10" s="97"/>
    </row>
    <row r="11" spans="1:17" ht="12.75" customHeight="1" x14ac:dyDescent="0.25">
      <c r="A11" s="48"/>
      <c r="B11" s="326"/>
      <c r="C11" s="326"/>
      <c r="D11" s="326"/>
      <c r="E11" s="326"/>
      <c r="F11" s="326"/>
      <c r="G11" s="326"/>
      <c r="H11" s="326"/>
      <c r="I11" s="326"/>
      <c r="J11" s="326"/>
      <c r="K11" s="48"/>
      <c r="L11" s="424"/>
      <c r="M11" s="425"/>
      <c r="N11" s="425"/>
      <c r="O11" s="426"/>
      <c r="P11" s="97"/>
      <c r="Q11" s="97"/>
    </row>
    <row r="12" spans="1:17" ht="25.5" x14ac:dyDescent="0.25">
      <c r="A12" s="48"/>
      <c r="B12" s="323"/>
      <c r="C12" s="324"/>
      <c r="D12" s="325"/>
      <c r="E12" s="112" t="s">
        <v>3</v>
      </c>
      <c r="F12" s="112" t="s">
        <v>4</v>
      </c>
      <c r="G12" s="112" t="s">
        <v>114</v>
      </c>
      <c r="H12" s="102" t="s">
        <v>569</v>
      </c>
      <c r="I12" s="102"/>
      <c r="J12" s="102" t="s">
        <v>568</v>
      </c>
      <c r="L12" s="424"/>
      <c r="M12" s="425"/>
      <c r="N12" s="425"/>
      <c r="O12" s="426"/>
      <c r="P12" s="97"/>
      <c r="Q12" s="97"/>
    </row>
    <row r="13" spans="1:17" ht="12.75" customHeight="1" x14ac:dyDescent="0.25">
      <c r="B13" s="414" t="s">
        <v>100</v>
      </c>
      <c r="C13" s="414"/>
      <c r="D13" s="414"/>
      <c r="E13" s="399"/>
      <c r="F13" s="400"/>
      <c r="G13" s="400"/>
      <c r="H13" s="400"/>
      <c r="I13" s="400"/>
      <c r="J13" s="401"/>
      <c r="K13" s="76"/>
      <c r="L13" s="427"/>
      <c r="M13" s="428"/>
      <c r="N13" s="428"/>
      <c r="O13" s="429"/>
    </row>
    <row r="14" spans="1:17" ht="12.75" customHeight="1" x14ac:dyDescent="0.25">
      <c r="B14" s="88"/>
      <c r="C14" s="333" t="s">
        <v>165</v>
      </c>
      <c r="D14" s="333"/>
      <c r="E14" s="123">
        <f>IF(E9='Drop Box Names'!B4,'Egg Production, Feed Intake'!J11*H14,IF(E9='Drop Box Names'!B5,'Egg Production, Feed Intake'!M12*H14,IF(E9='Drop Box Names'!B6,AVERAGE('Egg Production, Feed Intake'!J11,'Egg Production, Feed Intake'!J13)*H14,IF(E9='Drop Box Names'!B7,'Egg Production, Feed Intake'!M14*H14,IF(E9='Drop Box Names'!B8,AVERAGE('Egg Production, Feed Intake'!J11,'Egg Production, Feed Intake'!J13,'Egg Production, Feed Intake'!J15)*H14)))))</f>
        <v>810.46875</v>
      </c>
      <c r="F14" s="136" t="s">
        <v>25</v>
      </c>
      <c r="G14" s="107">
        <f>'Production Data'!H16</f>
        <v>4</v>
      </c>
      <c r="H14" s="101">
        <f>'Production Data'!E16</f>
        <v>0.7</v>
      </c>
      <c r="I14" s="107"/>
      <c r="J14" s="126">
        <f>E14*G14</f>
        <v>3241.875</v>
      </c>
      <c r="K14" s="76"/>
      <c r="M14" s="119"/>
    </row>
    <row r="15" spans="1:17" ht="12.75" customHeight="1" x14ac:dyDescent="0.25">
      <c r="B15" s="88"/>
      <c r="C15" s="333" t="s">
        <v>166</v>
      </c>
      <c r="D15" s="333"/>
      <c r="E15" s="123">
        <f>IF(E9='Drop Box Names'!B4,'Egg Production, Feed Intake'!J11*H15,IF(E9='Drop Box Names'!B5,'Egg Production, Feed Intake'!M12*H15,IF(E9='Drop Box Names'!B6,AVERAGE('Egg Production, Feed Intake'!J11,'Egg Production, Feed Intake'!J13)*H15,IF(E9='Drop Box Names'!B7,'Egg Production, Feed Intake'!M14*H15,IF(E9='Drop Box Names'!B8,AVERAGE('Egg Production, Feed Intake'!J11,'Egg Production, Feed Intake'!J13,'Egg Production, Feed Intake'!J15)*H15)))))</f>
        <v>289.453125</v>
      </c>
      <c r="F15" s="136" t="s">
        <v>25</v>
      </c>
      <c r="G15" s="107">
        <f>'Production Data'!H17</f>
        <v>5</v>
      </c>
      <c r="H15" s="101">
        <f>'Production Data'!E17</f>
        <v>0.25</v>
      </c>
      <c r="I15" s="101"/>
      <c r="J15" s="126">
        <f>E15*G15</f>
        <v>1447.265625</v>
      </c>
      <c r="L15" s="120"/>
      <c r="N15" s="120"/>
    </row>
    <row r="16" spans="1:17" ht="12.75" customHeight="1" x14ac:dyDescent="0.25">
      <c r="B16" s="88"/>
      <c r="C16" s="402" t="s">
        <v>536</v>
      </c>
      <c r="D16" s="402"/>
      <c r="E16" s="123">
        <f>SUM(E14:E15)</f>
        <v>1099.921875</v>
      </c>
      <c r="F16" s="136" t="s">
        <v>25</v>
      </c>
      <c r="G16" s="107">
        <f>((G14*E14)+(G15*E15))/E16</f>
        <v>4.2631578947368425</v>
      </c>
      <c r="H16" s="101">
        <f>SUM(H14:H15)</f>
        <v>0.95</v>
      </c>
      <c r="I16" s="101"/>
      <c r="J16" s="126">
        <f>SUM(J14:J15)</f>
        <v>4689.140625</v>
      </c>
      <c r="L16" s="121"/>
      <c r="M16" s="119"/>
      <c r="N16" s="120"/>
    </row>
    <row r="17" spans="1:12" ht="4.5" customHeight="1" x14ac:dyDescent="0.25">
      <c r="B17" s="323"/>
      <c r="C17" s="324"/>
      <c r="D17" s="324"/>
      <c r="E17" s="324"/>
      <c r="F17" s="324"/>
      <c r="G17" s="324"/>
      <c r="H17" s="324"/>
      <c r="I17" s="324"/>
      <c r="J17" s="325"/>
      <c r="L17" s="78"/>
    </row>
    <row r="18" spans="1:12" ht="12.75" customHeight="1" x14ac:dyDescent="0.25">
      <c r="B18" s="88"/>
      <c r="C18" s="333" t="s">
        <v>300</v>
      </c>
      <c r="D18" s="333"/>
      <c r="E18" s="123">
        <f>IF(E9='Drop Box Names'!B4,'Egg Production, Feed Intake'!N11*H18/E9,IF(E9='Drop Box Names'!B5,'Egg Production, Feed Intake'!N12*H18/E9,IF(E9='Drop Box Names'!B6,'Egg Production, Feed Intake'!N13*H18/E9,IF(E9='Drop Box Names'!B7,'Egg Production, Feed Intake'!N14*H18/E9,'Egg Production, Feed Intake'!N15*H18/E9))))</f>
        <v>32.489999999999995</v>
      </c>
      <c r="F18" s="136" t="s">
        <v>26</v>
      </c>
      <c r="G18" s="107">
        <f>'Production Data'!H22</f>
        <v>5.5</v>
      </c>
      <c r="H18" s="101">
        <f>'Production Data'!E22</f>
        <v>0.6</v>
      </c>
      <c r="I18" s="101"/>
      <c r="J18" s="126">
        <f>E18*G18</f>
        <v>178.69499999999996</v>
      </c>
      <c r="L18" s="78"/>
    </row>
    <row r="19" spans="1:12" ht="12.75" customHeight="1" x14ac:dyDescent="0.25">
      <c r="B19" s="88"/>
      <c r="C19" s="342" t="s">
        <v>301</v>
      </c>
      <c r="D19" s="342"/>
      <c r="E19" s="106">
        <f>IF(E9='Drop Box Names'!B4,'Egg Production, Feed Intake'!N11*J8*H19/E9,IF(E9='Drop Box Names'!B5,'Egg Production, Feed Intake'!N12*J8*H19/E9,IF(E9='Drop Box Names'!B6,'Egg Production, Feed Intake'!N13*J8*H19/E9,IF(E9='Drop Box Names'!B7,'Egg Production, Feed Intake'!N14*J8*H19/E9,'Egg Production, Feed Intake'!N15*J8*H19/E9))))</f>
        <v>68.228999999999985</v>
      </c>
      <c r="F19" s="90" t="s">
        <v>27</v>
      </c>
      <c r="G19" s="107">
        <f>'Production Data'!I23</f>
        <v>3.5</v>
      </c>
      <c r="H19" s="101">
        <f>'Production Data'!E23</f>
        <v>0.3</v>
      </c>
      <c r="I19" s="101"/>
      <c r="J19" s="126">
        <f>E19*G19</f>
        <v>238.80149999999995</v>
      </c>
      <c r="L19" s="78"/>
    </row>
    <row r="20" spans="1:12" ht="12.75" customHeight="1" x14ac:dyDescent="0.25">
      <c r="B20" s="88"/>
      <c r="C20" s="415" t="s">
        <v>356</v>
      </c>
      <c r="D20" s="415"/>
      <c r="E20" s="194">
        <f>SUM(H18:H19)</f>
        <v>0.89999999999999991</v>
      </c>
      <c r="F20" s="192">
        <f>(E18*J6)+E19</f>
        <v>263.16899999999998</v>
      </c>
      <c r="G20" s="193" t="s">
        <v>27</v>
      </c>
      <c r="H20" s="99">
        <f>SUM(H18:H19)</f>
        <v>0.89999999999999991</v>
      </c>
      <c r="I20" s="194"/>
      <c r="J20" s="126">
        <f>SUM(J18:J19)</f>
        <v>417.49649999999991</v>
      </c>
      <c r="L20" s="121" t="str">
        <f>"This shows the average income from cull birds over "&amp;E9&amp;" years of production. Total revenue will not be availble until the birds are culled."</f>
        <v>This shows the average income from cull birds over 1 years of production. Total revenue will not be availble until the birds are culled.</v>
      </c>
    </row>
    <row r="21" spans="1:12" ht="4.5" customHeight="1" x14ac:dyDescent="0.25">
      <c r="B21" s="326"/>
      <c r="C21" s="326"/>
      <c r="D21" s="326"/>
      <c r="E21" s="326"/>
      <c r="F21" s="326"/>
      <c r="G21" s="326"/>
      <c r="H21" s="326"/>
      <c r="I21" s="326"/>
      <c r="J21" s="326"/>
      <c r="L21" s="78"/>
    </row>
    <row r="22" spans="1:12" ht="12.75" customHeight="1" x14ac:dyDescent="0.25">
      <c r="B22" s="405" t="s">
        <v>85</v>
      </c>
      <c r="C22" s="406"/>
      <c r="D22" s="406"/>
      <c r="E22" s="406"/>
      <c r="F22" s="406"/>
      <c r="G22" s="406"/>
      <c r="H22" s="406"/>
      <c r="I22" s="407"/>
      <c r="J22" s="109">
        <f>J16+J20</f>
        <v>5106.6371250000002</v>
      </c>
    </row>
    <row r="23" spans="1:12" ht="12.75" customHeight="1" x14ac:dyDescent="0.25">
      <c r="B23" s="326"/>
      <c r="C23" s="326"/>
      <c r="D23" s="326"/>
      <c r="E23" s="326"/>
      <c r="F23" s="326"/>
      <c r="G23" s="326"/>
      <c r="H23" s="326"/>
      <c r="I23" s="326"/>
      <c r="J23" s="326"/>
    </row>
    <row r="24" spans="1:12" ht="25.5" x14ac:dyDescent="0.25">
      <c r="B24" s="323"/>
      <c r="C24" s="324"/>
      <c r="D24" s="325"/>
      <c r="E24" s="112" t="s">
        <v>3</v>
      </c>
      <c r="F24" s="112" t="s">
        <v>4</v>
      </c>
      <c r="G24" s="112" t="s">
        <v>285</v>
      </c>
      <c r="H24" s="102" t="s">
        <v>366</v>
      </c>
      <c r="I24" s="102" t="s">
        <v>572</v>
      </c>
      <c r="J24" s="112" t="s">
        <v>115</v>
      </c>
      <c r="L24" s="46"/>
    </row>
    <row r="25" spans="1:12" ht="12.75" customHeight="1" x14ac:dyDescent="0.25">
      <c r="B25" s="414" t="s">
        <v>86</v>
      </c>
      <c r="C25" s="414"/>
      <c r="D25" s="414"/>
      <c r="E25" s="408"/>
      <c r="F25" s="408"/>
      <c r="G25" s="408"/>
      <c r="H25" s="408"/>
      <c r="I25" s="408"/>
      <c r="J25" s="408"/>
    </row>
    <row r="26" spans="1:12" ht="12.75" customHeight="1" x14ac:dyDescent="0.25">
      <c r="B26" s="88"/>
      <c r="C26" s="333" t="str">
        <f>IF('Production Data'!H28='Drop Box Names'!B30, 'Drop Box Names'!B30, 'Drop Box Names'!B29)</f>
        <v>Day Old Chicks</v>
      </c>
      <c r="D26" s="333"/>
      <c r="E26" s="123">
        <f>'Production Data'!H30</f>
        <v>60</v>
      </c>
      <c r="F26" s="90" t="str">
        <f>IF('Production Data'!H28='Drop Box Names'!B29,"chicks","pullets")</f>
        <v>chicks</v>
      </c>
      <c r="G26" s="180">
        <f>IF('Production Data'!H28='Drop Box Names'!B29,'Production Data'!H34,'Production Data'!I34)</f>
        <v>2.5</v>
      </c>
      <c r="H26" s="180">
        <f>E26*G26/$E$16</f>
        <v>0.13637332196888985</v>
      </c>
      <c r="I26" s="180">
        <f t="shared" ref="I26:I33" si="0">E26*G26/$E$5</f>
        <v>2.6315789473684212</v>
      </c>
      <c r="J26" s="126">
        <f>G26*E26</f>
        <v>150</v>
      </c>
      <c r="L26" s="47" t="s">
        <v>422</v>
      </c>
    </row>
    <row r="27" spans="1:12" ht="12.75" customHeight="1" x14ac:dyDescent="0.25">
      <c r="B27" s="88"/>
      <c r="C27" s="333" t="s">
        <v>5</v>
      </c>
      <c r="D27" s="333"/>
      <c r="E27" s="106">
        <f>IF('Production Data'!H41='Drop Box Names'!B40,C84/2000,C84/'Production Data'!H43)</f>
        <v>2.6372653124999998</v>
      </c>
      <c r="F27" s="90" t="str">
        <f>IF('Production Data'!H41='Drop Box Names'!B40,"tons/flock","bags/flock")</f>
        <v>tons/flock</v>
      </c>
      <c r="G27" s="180">
        <f>IF('Production Data'!H41='Drop Box Names'!B40,'Production Data'!I42,'Production Data'!H42)</f>
        <v>600</v>
      </c>
      <c r="H27" s="180">
        <f t="shared" ref="H27:H41" si="1">E27*G27/$E$16</f>
        <v>1.4386105263157893</v>
      </c>
      <c r="I27" s="180">
        <f t="shared" si="0"/>
        <v>27.7606875</v>
      </c>
      <c r="J27" s="126">
        <f>G27*E27</f>
        <v>1582.3591875</v>
      </c>
      <c r="L27" s="152" t="s">
        <v>420</v>
      </c>
    </row>
    <row r="28" spans="1:12" ht="12.75" customHeight="1" x14ac:dyDescent="0.25">
      <c r="B28" s="88"/>
      <c r="C28" s="350" t="s">
        <v>519</v>
      </c>
      <c r="D28" s="358"/>
      <c r="E28" s="174">
        <v>1</v>
      </c>
      <c r="F28" s="90" t="s">
        <v>525</v>
      </c>
      <c r="G28" s="108">
        <f>'Production Data'!H45</f>
        <v>200</v>
      </c>
      <c r="H28" s="180">
        <f>E28*G28/$E$16</f>
        <v>0.18183109595851979</v>
      </c>
      <c r="I28" s="180">
        <f t="shared" si="0"/>
        <v>3.5087719298245612</v>
      </c>
      <c r="J28" s="126">
        <f>E28*G28</f>
        <v>200</v>
      </c>
      <c r="L28" s="152"/>
    </row>
    <row r="29" spans="1:12" ht="12.75" customHeight="1" x14ac:dyDescent="0.25">
      <c r="B29" s="88"/>
      <c r="C29" s="333" t="s">
        <v>6</v>
      </c>
      <c r="D29" s="333"/>
      <c r="E29" s="317">
        <v>2</v>
      </c>
      <c r="F29" s="90" t="s">
        <v>534</v>
      </c>
      <c r="G29" s="237">
        <v>7</v>
      </c>
      <c r="H29" s="180">
        <f t="shared" si="1"/>
        <v>1.2728176717096385E-2</v>
      </c>
      <c r="I29" s="180">
        <f t="shared" si="0"/>
        <v>0.24561403508771928</v>
      </c>
      <c r="J29" s="126">
        <f>G29*E29</f>
        <v>14</v>
      </c>
    </row>
    <row r="30" spans="1:12" ht="12.75" customHeight="1" x14ac:dyDescent="0.25">
      <c r="A30" s="120"/>
      <c r="B30" s="88"/>
      <c r="C30" s="333" t="s">
        <v>9</v>
      </c>
      <c r="D30" s="333"/>
      <c r="E30" s="179">
        <v>1</v>
      </c>
      <c r="F30" s="90" t="s">
        <v>525</v>
      </c>
      <c r="G30" s="246">
        <v>20</v>
      </c>
      <c r="H30" s="180">
        <f>IF('Production Data'!H36='Drop Box Names'!B10,0,E30*G30/$E$16)</f>
        <v>1.8183109595851978E-2</v>
      </c>
      <c r="I30" s="180">
        <f t="shared" si="0"/>
        <v>0.35087719298245612</v>
      </c>
      <c r="J30" s="126">
        <f>IF('Production Data'!H36='Drop Box Names'!B10,0,G30*E30)</f>
        <v>20</v>
      </c>
    </row>
    <row r="31" spans="1:12" ht="12.75" customHeight="1" x14ac:dyDescent="0.25">
      <c r="B31" s="88"/>
      <c r="C31" s="333" t="s">
        <v>309</v>
      </c>
      <c r="D31" s="333"/>
      <c r="E31" s="179">
        <v>1</v>
      </c>
      <c r="F31" s="90" t="s">
        <v>525</v>
      </c>
      <c r="G31" s="181">
        <f>SUM('Production Data'!I74:I75)</f>
        <v>472.96640624999998</v>
      </c>
      <c r="H31" s="180">
        <f>E31*G31/$E$16</f>
        <v>0.43</v>
      </c>
      <c r="I31" s="180">
        <f t="shared" si="0"/>
        <v>8.2976562499999993</v>
      </c>
      <c r="J31" s="126">
        <f t="shared" ref="J31:J37" si="2">G31*E31</f>
        <v>472.96640624999998</v>
      </c>
      <c r="L31" s="47"/>
    </row>
    <row r="32" spans="1:12" ht="12.75" customHeight="1" x14ac:dyDescent="0.25">
      <c r="B32" s="88"/>
      <c r="C32" s="350" t="s">
        <v>521</v>
      </c>
      <c r="D32" s="358"/>
      <c r="E32" s="179">
        <v>1</v>
      </c>
      <c r="F32" s="90" t="s">
        <v>525</v>
      </c>
      <c r="G32" s="247">
        <v>150</v>
      </c>
      <c r="H32" s="180">
        <f>E32*G32/$E$16</f>
        <v>0.13637332196888985</v>
      </c>
      <c r="I32" s="180">
        <f t="shared" si="0"/>
        <v>2.6315789473684212</v>
      </c>
      <c r="J32" s="126">
        <f t="shared" si="2"/>
        <v>150</v>
      </c>
      <c r="L32" s="47" t="s">
        <v>570</v>
      </c>
    </row>
    <row r="33" spans="2:12" ht="12.75" customHeight="1" x14ac:dyDescent="0.25">
      <c r="B33" s="88"/>
      <c r="C33" s="350" t="s">
        <v>533</v>
      </c>
      <c r="D33" s="358"/>
      <c r="E33" s="123">
        <f>'Production Data'!F23</f>
        <v>16.244999999999997</v>
      </c>
      <c r="F33" s="90" t="s">
        <v>571</v>
      </c>
      <c r="G33" s="237">
        <v>7</v>
      </c>
      <c r="H33" s="180">
        <f>E33*G33/$E$16</f>
        <v>0.10338461538461537</v>
      </c>
      <c r="I33" s="180">
        <f t="shared" si="0"/>
        <v>1.9949999999999997</v>
      </c>
      <c r="J33" s="126">
        <f>G33*E33</f>
        <v>113.71499999999997</v>
      </c>
      <c r="L33" s="47"/>
    </row>
    <row r="34" spans="2:12" ht="12.75" customHeight="1" x14ac:dyDescent="0.25">
      <c r="B34" s="88"/>
      <c r="C34" s="333" t="s">
        <v>286</v>
      </c>
      <c r="D34" s="333"/>
      <c r="E34" s="179">
        <f>IF('Depreciable Items'!E4='Drop Box Names'!B51,'Depreciable Items'!D20,'Depreciable Items'!E20)</f>
        <v>0</v>
      </c>
      <c r="F34" s="90" t="s">
        <v>525</v>
      </c>
      <c r="G34" s="247">
        <v>0</v>
      </c>
      <c r="H34" s="180">
        <f t="shared" si="1"/>
        <v>0</v>
      </c>
      <c r="I34" s="180">
        <f t="shared" ref="I34:I40" si="3">E34*G34/$E$5</f>
        <v>0</v>
      </c>
      <c r="J34" s="126">
        <f>IF('Production Data'!H31&lt;'Drop Box Names'!B66,0,G34*E34)</f>
        <v>0</v>
      </c>
      <c r="L34" s="47" t="s">
        <v>355</v>
      </c>
    </row>
    <row r="35" spans="2:12" ht="12.75" customHeight="1" x14ac:dyDescent="0.25">
      <c r="B35" s="88"/>
      <c r="C35" s="333" t="s">
        <v>7</v>
      </c>
      <c r="D35" s="333"/>
      <c r="E35" s="179">
        <v>1</v>
      </c>
      <c r="F35" s="90" t="s">
        <v>525</v>
      </c>
      <c r="G35" s="246">
        <v>15</v>
      </c>
      <c r="H35" s="180">
        <f>E35*G35/$E$16</f>
        <v>1.3637332196888983E-2</v>
      </c>
      <c r="I35" s="180">
        <f t="shared" si="3"/>
        <v>0.26315789473684209</v>
      </c>
      <c r="J35" s="126">
        <f>G35*E35</f>
        <v>15</v>
      </c>
    </row>
    <row r="36" spans="2:12" ht="12.75" customHeight="1" x14ac:dyDescent="0.25">
      <c r="B36" s="88"/>
      <c r="C36" s="333" t="s">
        <v>267</v>
      </c>
      <c r="D36" s="333"/>
      <c r="E36" s="179">
        <v>1</v>
      </c>
      <c r="F36" s="90" t="s">
        <v>525</v>
      </c>
      <c r="G36" s="246">
        <v>20</v>
      </c>
      <c r="H36" s="180">
        <f t="shared" si="1"/>
        <v>1.8183109595851978E-2</v>
      </c>
      <c r="I36" s="180">
        <f t="shared" si="3"/>
        <v>0.35087719298245612</v>
      </c>
      <c r="J36" s="126">
        <f t="shared" si="2"/>
        <v>20</v>
      </c>
      <c r="L36" s="47" t="s">
        <v>423</v>
      </c>
    </row>
    <row r="37" spans="2:12" ht="12.75" customHeight="1" x14ac:dyDescent="0.25">
      <c r="B37" s="88"/>
      <c r="C37" s="350" t="s">
        <v>434</v>
      </c>
      <c r="D37" s="358"/>
      <c r="E37" s="179">
        <f>IF('Production Data'!H28='Drop Box Names'!B29,IF('Egg Production, Feed Intake'!E23='Drop Box Names'!B61,('Egg Production, Feed Intake'!F19*'Production Data'!H10*7)/60,IF('Egg Production, Feed Intake'!E23='Drop Box Names'!B62,('Egg Production, Feed Intake'!F21*'Production Data'!H10*7)/60,('Egg Production, Feed Intake'!F20*'Production Data'!H10*7)/60)),0)</f>
        <v>37.799999999999997</v>
      </c>
      <c r="F37" s="90" t="s">
        <v>535</v>
      </c>
      <c r="G37" s="182">
        <f>IF('Production Data'!H68='Drop Box Names'!B43,'Production Data'!H69,0)</f>
        <v>10</v>
      </c>
      <c r="H37" s="180">
        <f t="shared" si="1"/>
        <v>0.34366077136160239</v>
      </c>
      <c r="I37" s="180">
        <f t="shared" si="3"/>
        <v>6.6315789473684212</v>
      </c>
      <c r="J37" s="126">
        <f t="shared" si="2"/>
        <v>378</v>
      </c>
      <c r="L37" s="195" t="str">
        <f>IF('Production Data'!H68='Drop Box Names'!B44,"Labor is not included. Change in Production Data sheet.","")</f>
        <v/>
      </c>
    </row>
    <row r="38" spans="2:12" ht="12.75" customHeight="1" x14ac:dyDescent="0.25">
      <c r="B38" s="88"/>
      <c r="C38" s="342" t="s">
        <v>239</v>
      </c>
      <c r="D38" s="342"/>
      <c r="E38" s="174">
        <f>'Production Data'!H71*365/60</f>
        <v>121.66666666666667</v>
      </c>
      <c r="F38" s="136" t="s">
        <v>535</v>
      </c>
      <c r="G38" s="182">
        <f>IF('Production Data'!H68='Drop Box Names'!B43,'Production Data'!H69,0)</f>
        <v>10</v>
      </c>
      <c r="H38" s="180">
        <f t="shared" si="1"/>
        <v>1.1061391670809955</v>
      </c>
      <c r="I38" s="180">
        <f t="shared" si="3"/>
        <v>21.345029239766085</v>
      </c>
      <c r="J38" s="126">
        <f>G38*E38</f>
        <v>1216.6666666666667</v>
      </c>
      <c r="L38" s="195" t="str">
        <f>IF('Production Data'!H68='Drop Box Names'!B44,"Labor is not included. Change in Production Data sheet.","")</f>
        <v/>
      </c>
    </row>
    <row r="39" spans="2:12" ht="12.75" customHeight="1" x14ac:dyDescent="0.25">
      <c r="B39" s="88"/>
      <c r="C39" s="333" t="s">
        <v>268</v>
      </c>
      <c r="D39" s="333"/>
      <c r="E39" s="179">
        <f>'Production Data'!H72</f>
        <v>10</v>
      </c>
      <c r="F39" s="90" t="s">
        <v>535</v>
      </c>
      <c r="G39" s="182">
        <f>IF('Production Data'!H68='Drop Box Names'!B43,'Production Data'!H69,0)</f>
        <v>10</v>
      </c>
      <c r="H39" s="180">
        <f>E39*G39/$E$16</f>
        <v>9.0915547979259895E-2</v>
      </c>
      <c r="I39" s="180">
        <f t="shared" si="3"/>
        <v>1.7543859649122806</v>
      </c>
      <c r="J39" s="126">
        <f>G39*E39</f>
        <v>100</v>
      </c>
      <c r="L39" s="195" t="str">
        <f>IF('Production Data'!H68='Drop Box Names'!B44,"Labor is not included. Change in Production Data sheet.","")</f>
        <v/>
      </c>
    </row>
    <row r="40" spans="2:12" ht="12.75" hidden="1" customHeight="1" x14ac:dyDescent="0.25">
      <c r="B40" s="88"/>
      <c r="C40" s="412" t="s">
        <v>520</v>
      </c>
      <c r="D40" s="413"/>
      <c r="E40" s="179"/>
      <c r="F40" s="90" t="s">
        <v>535</v>
      </c>
      <c r="G40" s="182"/>
      <c r="H40" s="180"/>
      <c r="I40" s="180">
        <f t="shared" si="3"/>
        <v>0</v>
      </c>
      <c r="J40" s="126"/>
      <c r="L40" s="195"/>
    </row>
    <row r="41" spans="2:12" ht="12.75" customHeight="1" x14ac:dyDescent="0.25">
      <c r="B41" s="88"/>
      <c r="C41" s="347" t="s">
        <v>365</v>
      </c>
      <c r="D41" s="349"/>
      <c r="E41" s="174">
        <v>1</v>
      </c>
      <c r="F41" s="136" t="s">
        <v>525</v>
      </c>
      <c r="G41" s="247">
        <v>50</v>
      </c>
      <c r="H41" s="180">
        <f t="shared" si="1"/>
        <v>4.5457773989629947E-2</v>
      </c>
      <c r="I41" s="180">
        <f>E41*G41/$E$5</f>
        <v>0.8771929824561403</v>
      </c>
      <c r="J41" s="126">
        <f>G41*E41</f>
        <v>50</v>
      </c>
      <c r="L41" s="195"/>
    </row>
    <row r="42" spans="2:12" ht="12.75" customHeight="1" x14ac:dyDescent="0.25">
      <c r="B42" s="419" t="s">
        <v>87</v>
      </c>
      <c r="C42" s="419"/>
      <c r="D42" s="419"/>
      <c r="E42" s="419"/>
      <c r="F42" s="419"/>
      <c r="G42" s="419"/>
      <c r="H42" s="125">
        <f>SUM(H26:H41)</f>
        <v>4.0754778701138807</v>
      </c>
      <c r="I42" s="180">
        <f>SUM(I26:I41)</f>
        <v>78.6439870248538</v>
      </c>
      <c r="J42" s="109">
        <f>SUM(J26:J41)</f>
        <v>4482.7072604166669</v>
      </c>
      <c r="L42" s="122"/>
    </row>
    <row r="43" spans="2:12" ht="4.5" customHeight="1" x14ac:dyDescent="0.25">
      <c r="B43" s="409"/>
      <c r="C43" s="410"/>
      <c r="D43" s="410"/>
      <c r="E43" s="410"/>
      <c r="F43" s="410"/>
      <c r="G43" s="410"/>
      <c r="H43" s="410"/>
      <c r="I43" s="410"/>
      <c r="J43" s="411"/>
      <c r="L43" s="119"/>
    </row>
    <row r="44" spans="2:12" ht="12.75" customHeight="1" x14ac:dyDescent="0.25">
      <c r="B44" s="405" t="s">
        <v>296</v>
      </c>
      <c r="C44" s="406"/>
      <c r="D44" s="406"/>
      <c r="E44" s="406"/>
      <c r="F44" s="406"/>
      <c r="G44" s="406"/>
      <c r="H44" s="407"/>
      <c r="I44" s="125">
        <f>(J22/E5)-I42</f>
        <v>10.9461379751462</v>
      </c>
      <c r="J44" s="110">
        <f>J22-J42</f>
        <v>623.92986458333326</v>
      </c>
      <c r="K44" s="122"/>
    </row>
    <row r="45" spans="2:12" ht="4.5" customHeight="1" x14ac:dyDescent="0.25">
      <c r="B45" s="326"/>
      <c r="C45" s="326"/>
      <c r="D45" s="326"/>
      <c r="E45" s="326"/>
      <c r="F45" s="326"/>
      <c r="G45" s="326"/>
      <c r="H45" s="326"/>
      <c r="I45" s="326"/>
      <c r="J45" s="326"/>
      <c r="K45" s="119"/>
    </row>
    <row r="46" spans="2:12" ht="25.5" x14ac:dyDescent="0.25">
      <c r="B46" s="323"/>
      <c r="C46" s="324"/>
      <c r="D46" s="325"/>
      <c r="E46" s="112" t="s">
        <v>3</v>
      </c>
      <c r="F46" s="112" t="s">
        <v>4</v>
      </c>
      <c r="G46" s="112" t="s">
        <v>285</v>
      </c>
      <c r="H46" s="102" t="s">
        <v>366</v>
      </c>
      <c r="I46" s="102" t="s">
        <v>572</v>
      </c>
      <c r="J46" s="112" t="s">
        <v>115</v>
      </c>
    </row>
    <row r="47" spans="2:12" ht="12.75" customHeight="1" x14ac:dyDescent="0.25">
      <c r="B47" s="419" t="s">
        <v>88</v>
      </c>
      <c r="C47" s="419"/>
      <c r="D47" s="419"/>
      <c r="E47" s="408"/>
      <c r="F47" s="408"/>
      <c r="G47" s="408"/>
      <c r="H47" s="408"/>
      <c r="I47" s="408"/>
      <c r="J47" s="408"/>
    </row>
    <row r="48" spans="2:12" ht="12.75" customHeight="1" x14ac:dyDescent="0.25">
      <c r="B48" s="88"/>
      <c r="C48" s="333" t="s">
        <v>449</v>
      </c>
      <c r="D48" s="333"/>
      <c r="E48" s="179">
        <v>1</v>
      </c>
      <c r="F48" s="136" t="s">
        <v>525</v>
      </c>
      <c r="G48" s="108">
        <f>SUM('Depreciable Items'!L11:L18)</f>
        <v>207.12943742338345</v>
      </c>
      <c r="H48" s="180">
        <f>(E48*G48)/$E$16</f>
        <v>0.18831286305982728</v>
      </c>
      <c r="I48" s="180">
        <f>E48*G48/$E$5</f>
        <v>3.6338497793576043</v>
      </c>
      <c r="J48" s="126">
        <f>G48*E48</f>
        <v>207.12943742338345</v>
      </c>
      <c r="L48" s="47" t="s">
        <v>305</v>
      </c>
    </row>
    <row r="49" spans="2:12" ht="12.75" customHeight="1" x14ac:dyDescent="0.25">
      <c r="B49" s="88"/>
      <c r="C49" s="333" t="s">
        <v>450</v>
      </c>
      <c r="D49" s="333"/>
      <c r="E49" s="179">
        <v>1</v>
      </c>
      <c r="F49" s="136" t="s">
        <v>525</v>
      </c>
      <c r="G49" s="108">
        <f>SUM('Depreciable Items'!L19:L21)</f>
        <v>0</v>
      </c>
      <c r="H49" s="180">
        <f t="shared" ref="H49:H51" si="4">(E49*G49)/$E$16</f>
        <v>0</v>
      </c>
      <c r="I49" s="180">
        <f>E49*G49/$E$5</f>
        <v>0</v>
      </c>
      <c r="J49" s="126">
        <f t="shared" ref="J49:J51" si="5">G49*E49</f>
        <v>0</v>
      </c>
      <c r="L49" s="47" t="s">
        <v>421</v>
      </c>
    </row>
    <row r="50" spans="2:12" ht="12.75" customHeight="1" x14ac:dyDescent="0.25">
      <c r="B50" s="88"/>
      <c r="C50" s="333" t="s">
        <v>446</v>
      </c>
      <c r="D50" s="333"/>
      <c r="E50" s="179">
        <v>1</v>
      </c>
      <c r="F50" s="136" t="s">
        <v>525</v>
      </c>
      <c r="G50" s="181">
        <f>SUM('Depreciable Items'!L26:L37)</f>
        <v>57.04509053624728</v>
      </c>
      <c r="H50" s="180">
        <f>(E50*G50)/$E$16</f>
        <v>5.1862856656294136E-2</v>
      </c>
      <c r="I50" s="180">
        <f>E50*G50/$E$5</f>
        <v>1.000791062039426</v>
      </c>
      <c r="J50" s="126">
        <f>G50*E50</f>
        <v>57.04509053624728</v>
      </c>
      <c r="L50" s="47" t="s">
        <v>292</v>
      </c>
    </row>
    <row r="51" spans="2:12" ht="12.75" customHeight="1" x14ac:dyDescent="0.25">
      <c r="B51" s="88"/>
      <c r="C51" s="342" t="s">
        <v>8</v>
      </c>
      <c r="D51" s="342"/>
      <c r="E51" s="179">
        <v>1</v>
      </c>
      <c r="F51" s="136" t="s">
        <v>525</v>
      </c>
      <c r="G51" s="246">
        <v>25</v>
      </c>
      <c r="H51" s="180">
        <f t="shared" si="4"/>
        <v>2.2728886994814974E-2</v>
      </c>
      <c r="I51" s="180">
        <f t="shared" ref="I51" si="6">E51*G51/$E$5</f>
        <v>0.43859649122807015</v>
      </c>
      <c r="J51" s="126">
        <f t="shared" si="5"/>
        <v>25</v>
      </c>
      <c r="L51" s="47" t="s">
        <v>425</v>
      </c>
    </row>
    <row r="52" spans="2:12" ht="12.75" customHeight="1" x14ac:dyDescent="0.25">
      <c r="B52" s="419" t="s">
        <v>89</v>
      </c>
      <c r="C52" s="419"/>
      <c r="D52" s="419"/>
      <c r="E52" s="419"/>
      <c r="F52" s="419"/>
      <c r="G52" s="419"/>
      <c r="H52" s="125">
        <f>SUM(H48:H51)</f>
        <v>0.26290460671093641</v>
      </c>
      <c r="I52" s="125">
        <f>SUM(I48:I51)</f>
        <v>5.0732373326251006</v>
      </c>
      <c r="J52" s="110">
        <f>SUM(J48:J51)</f>
        <v>289.17452795963072</v>
      </c>
      <c r="L52" s="122"/>
    </row>
    <row r="53" spans="2:12" ht="4.5" customHeight="1" x14ac:dyDescent="0.25">
      <c r="B53" s="326"/>
      <c r="C53" s="326"/>
      <c r="D53" s="326"/>
      <c r="E53" s="326"/>
      <c r="F53" s="326"/>
      <c r="G53" s="326"/>
      <c r="H53" s="326"/>
      <c r="I53" s="326"/>
      <c r="J53" s="326"/>
      <c r="K53" s="119"/>
    </row>
    <row r="54" spans="2:12" ht="12.75" customHeight="1" x14ac:dyDescent="0.25">
      <c r="B54" s="405" t="s">
        <v>294</v>
      </c>
      <c r="C54" s="406"/>
      <c r="D54" s="406"/>
      <c r="E54" s="406"/>
      <c r="F54" s="406"/>
      <c r="G54" s="407"/>
      <c r="H54" s="125">
        <f>H42+H52</f>
        <v>4.3383824768248171</v>
      </c>
      <c r="I54" s="125">
        <f>I42+I52</f>
        <v>83.717224357478898</v>
      </c>
      <c r="J54" s="110">
        <f>J42+J52</f>
        <v>4771.8817883762977</v>
      </c>
      <c r="L54" s="119"/>
    </row>
    <row r="55" spans="2:12" ht="12.75" customHeight="1" x14ac:dyDescent="0.25">
      <c r="B55" s="323"/>
      <c r="C55" s="324"/>
      <c r="D55" s="324"/>
      <c r="E55" s="324"/>
      <c r="F55" s="324"/>
      <c r="G55" s="324"/>
      <c r="H55" s="324"/>
      <c r="I55" s="324"/>
      <c r="J55" s="325"/>
      <c r="K55" s="119"/>
      <c r="L55" s="119"/>
    </row>
    <row r="56" spans="2:12" ht="12.75" customHeight="1" x14ac:dyDescent="0.25">
      <c r="B56" s="323"/>
      <c r="C56" s="324"/>
      <c r="D56" s="324"/>
      <c r="E56" s="324"/>
      <c r="F56" s="324"/>
      <c r="G56" s="325"/>
      <c r="H56" s="112" t="s">
        <v>522</v>
      </c>
      <c r="I56" s="112" t="s">
        <v>573</v>
      </c>
      <c r="J56" s="285" t="s">
        <v>523</v>
      </c>
      <c r="K56" s="119"/>
    </row>
    <row r="57" spans="2:12" ht="12.75" customHeight="1" x14ac:dyDescent="0.25">
      <c r="B57" s="416" t="str">
        <f>IF('Production Data'!H68='Drop Box Names'!B43,"NET PROFIT PER YEAR (including labor)","NET PROFIT PER YEAR (not including labor)")</f>
        <v>NET PROFIT PER YEAR (including labor)</v>
      </c>
      <c r="C57" s="417"/>
      <c r="D57" s="417"/>
      <c r="E57" s="417"/>
      <c r="F57" s="417"/>
      <c r="G57" s="418"/>
      <c r="H57" s="283">
        <f>J57/E16</f>
        <v>0.30434464868125521</v>
      </c>
      <c r="I57" s="283">
        <f>J57/E5</f>
        <v>5.8729006425210972</v>
      </c>
      <c r="J57" s="284">
        <f>J22-J54</f>
        <v>334.75533662370253</v>
      </c>
      <c r="L57" s="47" t="s">
        <v>576</v>
      </c>
    </row>
    <row r="58" spans="2:12" ht="12.75" customHeight="1" x14ac:dyDescent="0.25">
      <c r="B58" s="326"/>
      <c r="C58" s="326"/>
      <c r="D58" s="326"/>
      <c r="E58" s="326"/>
      <c r="F58" s="326"/>
      <c r="G58" s="326"/>
      <c r="H58" s="326"/>
      <c r="I58" s="326"/>
      <c r="J58" s="326"/>
      <c r="K58" s="119"/>
    </row>
    <row r="59" spans="2:12" ht="12.75" customHeight="1" x14ac:dyDescent="0.25">
      <c r="B59" s="405" t="str">
        <f>IF('Production Data'!H68='Drop Box Names'!B43,"Breakeven Price per Dozen over Variable Costs (including labor)","Breakeven Price per Dozen over Variable Costs (not including labor)")</f>
        <v>Breakeven Price per Dozen over Variable Costs (including labor)</v>
      </c>
      <c r="C59" s="406"/>
      <c r="D59" s="406"/>
      <c r="E59" s="406"/>
      <c r="F59" s="406"/>
      <c r="G59" s="406"/>
      <c r="H59" s="406"/>
      <c r="I59" s="407"/>
      <c r="J59" s="111">
        <f>(J42-J20)/E16</f>
        <v>3.6959086393446507</v>
      </c>
      <c r="L59" s="47" t="s">
        <v>295</v>
      </c>
    </row>
    <row r="60" spans="2:12" ht="12.75" customHeight="1" x14ac:dyDescent="0.25">
      <c r="B60" s="405" t="str">
        <f>IF('Production Data'!H68='Drop Box Names'!B43,"Breakeven Price per Dozen over All Costs (including labor)","Breakeven Price per Dozen over All Costs (not including labor)")</f>
        <v>Breakeven Price per Dozen over All Costs (including labor)</v>
      </c>
      <c r="C60" s="406"/>
      <c r="D60" s="406"/>
      <c r="E60" s="406"/>
      <c r="F60" s="406"/>
      <c r="G60" s="406"/>
      <c r="H60" s="406"/>
      <c r="I60" s="407"/>
      <c r="J60" s="111">
        <f>(J54-J20)/E16</f>
        <v>3.9588132460555867</v>
      </c>
      <c r="L60" s="47" t="s">
        <v>295</v>
      </c>
    </row>
    <row r="61" spans="2:12" ht="12.75" customHeight="1" x14ac:dyDescent="0.25">
      <c r="B61" s="326"/>
      <c r="C61" s="326"/>
      <c r="D61" s="326"/>
      <c r="E61" s="326"/>
      <c r="F61" s="326"/>
      <c r="G61" s="326"/>
      <c r="H61" s="326"/>
      <c r="I61" s="326"/>
      <c r="J61" s="326"/>
    </row>
    <row r="62" spans="2:12" ht="12.75" customHeight="1" x14ac:dyDescent="0.25"/>
    <row r="63" spans="2:12" ht="12.75" customHeight="1" x14ac:dyDescent="0.25"/>
    <row r="64" spans="2:12" ht="12.75" customHeight="1" x14ac:dyDescent="0.25"/>
    <row r="65" spans="2:21" ht="12.75" customHeight="1" x14ac:dyDescent="0.25"/>
    <row r="66" spans="2:21" ht="12.75" customHeight="1" x14ac:dyDescent="0.25"/>
    <row r="67" spans="2:21" ht="12.75" hidden="1" customHeight="1" x14ac:dyDescent="0.25">
      <c r="E67" s="76" t="s">
        <v>489</v>
      </c>
      <c r="F67" s="76" t="s">
        <v>4</v>
      </c>
      <c r="G67" s="76" t="s">
        <v>490</v>
      </c>
      <c r="H67" s="76" t="s">
        <v>491</v>
      </c>
      <c r="I67" s="76"/>
    </row>
    <row r="68" spans="2:21" ht="12.75" hidden="1" customHeight="1" x14ac:dyDescent="0.25">
      <c r="B68" s="44" t="s">
        <v>502</v>
      </c>
      <c r="E68" s="403"/>
      <c r="F68" s="403"/>
      <c r="G68" s="403"/>
      <c r="H68" s="403"/>
      <c r="I68" s="282"/>
    </row>
    <row r="69" spans="2:21" hidden="1" x14ac:dyDescent="0.25">
      <c r="C69" s="44" t="s">
        <v>488</v>
      </c>
      <c r="E69" s="270">
        <v>18.5</v>
      </c>
      <c r="F69" s="79" t="s">
        <v>492</v>
      </c>
      <c r="G69" s="76"/>
      <c r="H69" s="76"/>
      <c r="I69" s="76"/>
      <c r="L69" s="404" t="s">
        <v>503</v>
      </c>
      <c r="M69" s="404"/>
      <c r="N69" s="404"/>
      <c r="O69" s="404"/>
      <c r="Q69" s="404" t="s">
        <v>504</v>
      </c>
      <c r="R69" s="404"/>
      <c r="S69" s="404"/>
      <c r="T69" s="404"/>
      <c r="U69" s="404"/>
    </row>
    <row r="70" spans="2:21" hidden="1" x14ac:dyDescent="0.25">
      <c r="C70" s="44" t="s">
        <v>488</v>
      </c>
      <c r="E70" s="274">
        <v>1</v>
      </c>
      <c r="F70" s="79" t="s">
        <v>493</v>
      </c>
      <c r="G70" s="271">
        <v>2.75</v>
      </c>
      <c r="H70" s="80"/>
      <c r="I70" s="80"/>
      <c r="L70" s="333" t="s">
        <v>505</v>
      </c>
      <c r="M70" s="333"/>
      <c r="N70" s="275">
        <v>15000</v>
      </c>
      <c r="O70" s="88"/>
      <c r="Q70" s="350"/>
      <c r="R70" s="358"/>
      <c r="S70" s="276" t="s">
        <v>506</v>
      </c>
      <c r="T70" s="276" t="s">
        <v>507</v>
      </c>
      <c r="U70" s="276" t="s">
        <v>508</v>
      </c>
    </row>
    <row r="71" spans="2:21" hidden="1" x14ac:dyDescent="0.25">
      <c r="E71" s="79"/>
      <c r="F71" s="79"/>
      <c r="G71" s="79"/>
      <c r="H71" s="79"/>
      <c r="I71" s="79"/>
      <c r="L71" s="326"/>
      <c r="M71" s="326"/>
      <c r="N71" s="326"/>
      <c r="O71" s="326"/>
      <c r="Q71" s="343" t="s">
        <v>509</v>
      </c>
      <c r="R71" s="345"/>
      <c r="S71" s="277">
        <f>T71-(T71*S76)</f>
        <v>0.04</v>
      </c>
      <c r="T71" s="277">
        <v>0.05</v>
      </c>
      <c r="U71" s="277">
        <f>T71+(T71*S76)</f>
        <v>6.0000000000000005E-2</v>
      </c>
    </row>
    <row r="72" spans="2:21" hidden="1" x14ac:dyDescent="0.25">
      <c r="C72" s="44" t="s">
        <v>494</v>
      </c>
      <c r="E72" s="270">
        <v>1500</v>
      </c>
      <c r="F72" s="79" t="s">
        <v>496</v>
      </c>
      <c r="G72" s="76"/>
      <c r="H72" s="76"/>
      <c r="I72" s="76"/>
      <c r="L72" s="323"/>
      <c r="M72" s="325"/>
      <c r="N72" s="112" t="s">
        <v>510</v>
      </c>
      <c r="O72" s="112" t="s">
        <v>511</v>
      </c>
      <c r="Q72" s="343" t="s">
        <v>512</v>
      </c>
      <c r="R72" s="345"/>
      <c r="S72" s="277">
        <f>T72-(T72*S76)</f>
        <v>8.0000000000000002E-3</v>
      </c>
      <c r="T72" s="277">
        <v>0.01</v>
      </c>
      <c r="U72" s="277">
        <f>T72+(T72*S76)</f>
        <v>1.2E-2</v>
      </c>
    </row>
    <row r="73" spans="2:21" hidden="1" x14ac:dyDescent="0.25">
      <c r="C73" s="44" t="s">
        <v>495</v>
      </c>
      <c r="E73" s="270">
        <v>50</v>
      </c>
      <c r="F73" s="79" t="s">
        <v>347</v>
      </c>
      <c r="G73" s="80">
        <f>IF('Production Data'!H68='Drop Box Names'!B43,'Production Data'!H69,0)</f>
        <v>10</v>
      </c>
      <c r="H73" s="273">
        <f>E73*G73</f>
        <v>500</v>
      </c>
      <c r="I73" s="273"/>
      <c r="L73" s="402" t="s">
        <v>509</v>
      </c>
      <c r="M73" s="402"/>
      <c r="N73" s="278">
        <v>750</v>
      </c>
      <c r="O73" s="277">
        <f>N73/N70</f>
        <v>0.05</v>
      </c>
      <c r="Q73" s="343" t="s">
        <v>513</v>
      </c>
      <c r="R73" s="345"/>
      <c r="S73" s="277">
        <f>T73-(T73*S76)</f>
        <v>7.1999999999999995E-2</v>
      </c>
      <c r="T73" s="277">
        <v>0.09</v>
      </c>
      <c r="U73" s="277">
        <f>T73+(T73*S76)</f>
        <v>0.108</v>
      </c>
    </row>
    <row r="74" spans="2:21" hidden="1" x14ac:dyDescent="0.25">
      <c r="C74" s="44" t="s">
        <v>501</v>
      </c>
      <c r="E74" s="272">
        <v>0.3</v>
      </c>
      <c r="F74" s="79"/>
      <c r="G74" s="76"/>
      <c r="H74" s="76"/>
      <c r="I74" s="76"/>
      <c r="L74" s="402" t="s">
        <v>512</v>
      </c>
      <c r="M74" s="402"/>
      <c r="N74" s="278">
        <v>500</v>
      </c>
      <c r="O74" s="277">
        <f>N74/N70</f>
        <v>3.3333333333333333E-2</v>
      </c>
      <c r="Q74" s="343" t="s">
        <v>491</v>
      </c>
      <c r="R74" s="345"/>
      <c r="S74" s="279">
        <f>SUM(S71:S73)</f>
        <v>0.12</v>
      </c>
      <c r="T74" s="279">
        <f>SUM(T71:T73)</f>
        <v>0.15</v>
      </c>
      <c r="U74" s="279">
        <f>SUM(U71:U73)</f>
        <v>0.18</v>
      </c>
    </row>
    <row r="75" spans="2:21" hidden="1" x14ac:dyDescent="0.25">
      <c r="B75" s="44" t="s">
        <v>497</v>
      </c>
      <c r="E75" s="79"/>
      <c r="F75" s="79"/>
      <c r="G75" s="79"/>
      <c r="H75" s="79"/>
      <c r="I75" s="79"/>
      <c r="L75" s="402" t="s">
        <v>513</v>
      </c>
      <c r="M75" s="402"/>
      <c r="N75" s="278">
        <v>1000</v>
      </c>
      <c r="O75" s="277">
        <f>N75/N70</f>
        <v>6.6666666666666666E-2</v>
      </c>
      <c r="Q75" s="333" t="s">
        <v>514</v>
      </c>
      <c r="R75" s="333"/>
      <c r="S75" s="333"/>
      <c r="T75" s="333"/>
      <c r="U75" s="333"/>
    </row>
    <row r="76" spans="2:21" hidden="1" x14ac:dyDescent="0.25">
      <c r="C76" s="44" t="s">
        <v>498</v>
      </c>
      <c r="E76" s="76">
        <f>E72*E74</f>
        <v>450</v>
      </c>
      <c r="F76" s="79" t="s">
        <v>500</v>
      </c>
      <c r="G76" s="80">
        <f>G70/E69</f>
        <v>0.14864864864864866</v>
      </c>
      <c r="H76" s="273">
        <f>E76*G76</f>
        <v>66.891891891891902</v>
      </c>
      <c r="I76" s="273"/>
      <c r="L76" s="402" t="s">
        <v>491</v>
      </c>
      <c r="M76" s="402"/>
      <c r="N76" s="402"/>
      <c r="O76" s="107">
        <f>SUM(O73:O75)</f>
        <v>0.15000000000000002</v>
      </c>
      <c r="Q76" s="335" t="s">
        <v>515</v>
      </c>
      <c r="R76" s="335"/>
      <c r="S76" s="280">
        <v>0.2</v>
      </c>
    </row>
    <row r="77" spans="2:21" hidden="1" x14ac:dyDescent="0.25">
      <c r="C77" s="44" t="s">
        <v>499</v>
      </c>
      <c r="E77" s="76">
        <f>E72*E74</f>
        <v>450</v>
      </c>
      <c r="F77" s="79" t="s">
        <v>500</v>
      </c>
      <c r="G77" s="80">
        <f>H73/E72</f>
        <v>0.33333333333333331</v>
      </c>
      <c r="H77" s="273">
        <f>E77*G77</f>
        <v>150</v>
      </c>
      <c r="I77" s="273"/>
    </row>
    <row r="78" spans="2:21" hidden="1" x14ac:dyDescent="0.25">
      <c r="C78" s="44" t="s">
        <v>8</v>
      </c>
      <c r="D78" s="269" t="s">
        <v>516</v>
      </c>
      <c r="E78" s="76">
        <f>E72*E74</f>
        <v>450</v>
      </c>
      <c r="F78" s="79" t="s">
        <v>500</v>
      </c>
      <c r="G78" s="271">
        <v>0.17</v>
      </c>
      <c r="H78" s="273">
        <f>IF(D78='Drop Box Names'!B68,E78*G78,E78*O76)</f>
        <v>76.5</v>
      </c>
      <c r="I78" s="273"/>
    </row>
    <row r="79" spans="2:21" hidden="1" x14ac:dyDescent="0.25">
      <c r="B79" s="161" t="s">
        <v>518</v>
      </c>
      <c r="H79" s="273">
        <f>SUM(H76:H78)</f>
        <v>293.39189189189187</v>
      </c>
      <c r="I79" s="273"/>
    </row>
    <row r="80" spans="2:21" hidden="1" x14ac:dyDescent="0.25"/>
    <row r="81" spans="3:4" hidden="1" x14ac:dyDescent="0.25"/>
    <row r="82" spans="3:4" hidden="1" x14ac:dyDescent="0.25"/>
    <row r="83" spans="3:4" hidden="1" x14ac:dyDescent="0.25">
      <c r="C83" s="308">
        <f>(('Production Data'!H11/2*31*'Production Data'!H71)+('Production Data'!H11/2*30*'Production Data'!H71))/60</f>
        <v>142.33333333333334</v>
      </c>
      <c r="D83" s="44" t="s">
        <v>530</v>
      </c>
    </row>
    <row r="84" spans="3:4" hidden="1" x14ac:dyDescent="0.25">
      <c r="C84" s="308">
        <f>IF('Production Data'!H6='Drop Box Names'!B4,'Egg Production, Feed Intake'!K51*(1-J5),IF('Production Data'!H6='Drop Box Names'!B5,'Egg Production, Feed Intake'!K52*(1-J5),IF('Production Data'!H6='Drop Box Names'!B6,'Egg Production, Feed Intake'!K53*(1-J5),IF('Production Data'!H6='Drop Box Names'!B7,'Egg Production, Feed Intake'!K54*(1-J5),'Egg Production, Feed Intake'!K55*(1-J5)))))</f>
        <v>5274.5306249999994</v>
      </c>
      <c r="D84" s="44" t="s">
        <v>545</v>
      </c>
    </row>
    <row r="85" spans="3:4" hidden="1" x14ac:dyDescent="0.25">
      <c r="C85" s="281">
        <f>IF('Production Data'!H28='Drop Box Names'!B29,('Production Data'!H70*'Production Data'!H10*7)/60,0)</f>
        <v>42</v>
      </c>
      <c r="D85" s="44" t="s">
        <v>554</v>
      </c>
    </row>
  </sheetData>
  <sheetProtection algorithmName="SHA-512" hashValue="z6OMwXPPswnIRdDxrG/6KblYLC7m4n3xdYM21dUd+emHKv6bnbm+QPgNxoUAH+ELVP04/VKsqh26KP6OYRLdxQ==" saltValue="6kPoMKhNg5Jul3/fIC1PRA==" spinCount="100000" sheet="1" formatCells="0" formatColumns="0" formatRows="0"/>
  <mergeCells count="89">
    <mergeCell ref="C6:D6"/>
    <mergeCell ref="C5:D5"/>
    <mergeCell ref="L10:O13"/>
    <mergeCell ref="G10:I10"/>
    <mergeCell ref="B52:G52"/>
    <mergeCell ref="C31:D31"/>
    <mergeCell ref="C30:D30"/>
    <mergeCell ref="C29:D29"/>
    <mergeCell ref="B47:D47"/>
    <mergeCell ref="C51:D51"/>
    <mergeCell ref="C49:D49"/>
    <mergeCell ref="C50:D50"/>
    <mergeCell ref="C48:D48"/>
    <mergeCell ref="B42:G42"/>
    <mergeCell ref="C38:D38"/>
    <mergeCell ref="C35:D35"/>
    <mergeCell ref="L5:O5"/>
    <mergeCell ref="B2:J2"/>
    <mergeCell ref="B3:J3"/>
    <mergeCell ref="B4:D4"/>
    <mergeCell ref="E4:J4"/>
    <mergeCell ref="B61:J61"/>
    <mergeCell ref="B58:J58"/>
    <mergeCell ref="B53:J53"/>
    <mergeCell ref="B54:G54"/>
    <mergeCell ref="B57:G57"/>
    <mergeCell ref="B56:G56"/>
    <mergeCell ref="B55:J55"/>
    <mergeCell ref="B60:I60"/>
    <mergeCell ref="B59:I59"/>
    <mergeCell ref="E47:J47"/>
    <mergeCell ref="B12:D12"/>
    <mergeCell ref="C10:D10"/>
    <mergeCell ref="C9:D9"/>
    <mergeCell ref="C8:D8"/>
    <mergeCell ref="B11:J11"/>
    <mergeCell ref="C14:D14"/>
    <mergeCell ref="B13:D13"/>
    <mergeCell ref="C16:D16"/>
    <mergeCell ref="C15:D15"/>
    <mergeCell ref="C34:D34"/>
    <mergeCell ref="C19:D19"/>
    <mergeCell ref="C20:D20"/>
    <mergeCell ref="C18:D18"/>
    <mergeCell ref="B25:D25"/>
    <mergeCell ref="C36:D36"/>
    <mergeCell ref="E25:J25"/>
    <mergeCell ref="B45:J45"/>
    <mergeCell ref="C27:D27"/>
    <mergeCell ref="C26:D26"/>
    <mergeCell ref="B43:J43"/>
    <mergeCell ref="B44:H44"/>
    <mergeCell ref="C40:D40"/>
    <mergeCell ref="C33:D33"/>
    <mergeCell ref="C28:D28"/>
    <mergeCell ref="C32:D32"/>
    <mergeCell ref="C39:D39"/>
    <mergeCell ref="C41:D41"/>
    <mergeCell ref="C37:D37"/>
    <mergeCell ref="L76:N76"/>
    <mergeCell ref="Q76:R76"/>
    <mergeCell ref="L71:O71"/>
    <mergeCell ref="Q71:R71"/>
    <mergeCell ref="L72:M72"/>
    <mergeCell ref="Q72:R72"/>
    <mergeCell ref="L73:M73"/>
    <mergeCell ref="Q73:R73"/>
    <mergeCell ref="G6:I6"/>
    <mergeCell ref="G5:I5"/>
    <mergeCell ref="L74:M74"/>
    <mergeCell ref="Q74:R74"/>
    <mergeCell ref="L75:M75"/>
    <mergeCell ref="Q75:U75"/>
    <mergeCell ref="E68:H68"/>
    <mergeCell ref="L69:O69"/>
    <mergeCell ref="Q69:U69"/>
    <mergeCell ref="L70:M70"/>
    <mergeCell ref="Q70:R70"/>
    <mergeCell ref="B23:J23"/>
    <mergeCell ref="B21:J21"/>
    <mergeCell ref="B24:D24"/>
    <mergeCell ref="B22:I22"/>
    <mergeCell ref="B46:D46"/>
    <mergeCell ref="B17:J17"/>
    <mergeCell ref="E13:J13"/>
    <mergeCell ref="G9:I9"/>
    <mergeCell ref="G8:I8"/>
    <mergeCell ref="G7:I7"/>
    <mergeCell ref="C7:D7"/>
  </mergeCells>
  <pageMargins left="0.7" right="0.7" top="0.75" bottom="0.75" header="0.3" footer="0.3"/>
  <pageSetup scale="90" orientation="portrait" horizontalDpi="4294967295" verticalDpi="4294967295" r:id="rId1"/>
  <legacyDrawing r:id="rId2"/>
  <extLst>
    <ext xmlns:x14="http://schemas.microsoft.com/office/spreadsheetml/2009/9/main" uri="{78C0D931-6437-407d-A8EE-F0AAD7539E65}">
      <x14:conditionalFormattings>
        <x14:conditionalFormatting xmlns:xm="http://schemas.microsoft.com/office/excel/2006/main">
          <x14:cfRule type="expression" priority="141" id="{4A101DDE-A003-440D-98E0-EBC321EB7F4A}">
            <xm:f>'Production Data'!$H$28:$I$28='Drop Box Names'!$B$30</xm:f>
            <x14:dxf>
              <font>
                <color theme="0"/>
              </font>
            </x14:dxf>
          </x14:cfRule>
          <xm:sqref>C6:E6</xm:sqref>
        </x14:conditionalFormatting>
        <x14:conditionalFormatting xmlns:xm="http://schemas.microsoft.com/office/excel/2006/main">
          <x14:cfRule type="expression" priority="2" id="{747F970D-1D50-4141-809B-7C1740584EAC}">
            <xm:f>'Production Data'!$H$36='Drop Box Names'!$B$10</xm:f>
            <x14:dxf>
              <font>
                <color theme="0"/>
              </font>
            </x14:dxf>
          </x14:cfRule>
          <xm:sqref>C30:H30 J30</xm:sqref>
        </x14:conditionalFormatting>
        <x14:conditionalFormatting xmlns:xm="http://schemas.microsoft.com/office/excel/2006/main">
          <x14:cfRule type="expression" priority="144" id="{CDF6E6D9-D0DB-4DD5-BD55-F75A0D710B85}">
            <xm:f>'Production Data'!$H$31&lt;'Drop Box Names'!$B$66</xm:f>
            <x14:dxf>
              <font>
                <color theme="0"/>
              </font>
            </x14:dxf>
          </x14:cfRule>
          <xm:sqref>C34:H34 J34 L34</xm:sqref>
        </x14:conditionalFormatting>
        <x14:conditionalFormatting xmlns:xm="http://schemas.microsoft.com/office/excel/2006/main">
          <x14:cfRule type="expression" priority="142" id="{DED29741-F4E4-4719-B21B-0F536EA447F5}">
            <xm:f>'Production Data'!$H$28='Drop Box Names'!$B$30</xm:f>
            <x14:dxf>
              <font>
                <color theme="0"/>
              </font>
            </x14:dxf>
          </x14:cfRule>
          <xm:sqref>C37:J37</xm:sqref>
        </x14:conditionalFormatting>
        <x14:conditionalFormatting xmlns:xm="http://schemas.microsoft.com/office/excel/2006/main">
          <x14:cfRule type="expression" priority="105" id="{88625CBC-3DB2-4EE7-8CFF-8545AE928876}">
            <xm:f>'Production Data'!$H$68='Drop Box Names'!$B$44</xm:f>
            <x14:dxf>
              <font>
                <color theme="0"/>
              </font>
            </x14:dxf>
          </x14:cfRule>
          <xm:sqref>E37:J39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Box Names'!$B$68:$B$69</xm:f>
          </x14:formula1>
          <xm:sqref>D78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dimension ref="B2:U65"/>
  <sheetViews>
    <sheetView zoomScaleNormal="100" workbookViewId="0">
      <selection activeCell="E23" sqref="E23:G23"/>
    </sheetView>
  </sheetViews>
  <sheetFormatPr defaultColWidth="9.140625" defaultRowHeight="12.75" x14ac:dyDescent="0.2"/>
  <cols>
    <col min="1" max="1" width="9.140625" style="43"/>
    <col min="2" max="2" width="4.7109375" style="43" customWidth="1"/>
    <col min="3" max="3" width="12.85546875" style="43" customWidth="1"/>
    <col min="4" max="4" width="11.42578125" style="43" customWidth="1"/>
    <col min="5" max="5" width="10.7109375" style="43" customWidth="1"/>
    <col min="6" max="6" width="11.28515625" style="43" customWidth="1"/>
    <col min="7" max="7" width="13.85546875" style="43" customWidth="1"/>
    <col min="8" max="8" width="14.140625" style="43" customWidth="1"/>
    <col min="9" max="9" width="11.42578125" style="43" customWidth="1"/>
    <col min="10" max="10" width="12.28515625" style="43" customWidth="1"/>
    <col min="11" max="11" width="13.42578125" style="43" customWidth="1"/>
    <col min="12" max="12" width="12.7109375" style="43" customWidth="1"/>
    <col min="13" max="13" width="9.5703125" style="43" bestFit="1" customWidth="1"/>
    <col min="14" max="14" width="10.5703125" style="43" bestFit="1" customWidth="1"/>
    <col min="15" max="18" width="9.140625" style="43"/>
    <col min="19" max="19" width="9.5703125" style="43" bestFit="1" customWidth="1"/>
    <col min="20" max="16384" width="9.140625" style="43"/>
  </cols>
  <sheetData>
    <row r="2" spans="2:14" ht="15.75" x14ac:dyDescent="0.25">
      <c r="B2" s="437" t="s">
        <v>318</v>
      </c>
      <c r="C2" s="437"/>
      <c r="D2" s="437"/>
      <c r="E2" s="437"/>
      <c r="F2" s="437"/>
      <c r="G2" s="437"/>
      <c r="H2" s="437"/>
      <c r="I2" s="437"/>
      <c r="J2" s="437"/>
    </row>
    <row r="4" spans="2:14" x14ac:dyDescent="0.2">
      <c r="B4" s="438" t="s">
        <v>341</v>
      </c>
      <c r="C4" s="438"/>
      <c r="D4" s="438"/>
      <c r="E4" s="438"/>
      <c r="F4" s="100"/>
      <c r="G4" s="438" t="s">
        <v>342</v>
      </c>
      <c r="H4" s="438"/>
      <c r="I4" s="438"/>
      <c r="J4" s="438"/>
    </row>
    <row r="5" spans="2:14" x14ac:dyDescent="0.2">
      <c r="B5" s="100"/>
      <c r="C5" s="436" t="s">
        <v>486</v>
      </c>
      <c r="D5" s="436"/>
      <c r="E5" s="103">
        <f>'Production Data'!H30</f>
        <v>60</v>
      </c>
      <c r="F5" s="100"/>
      <c r="G5" s="100"/>
      <c r="H5" s="436" t="s">
        <v>527</v>
      </c>
      <c r="I5" s="436"/>
      <c r="J5" s="103">
        <f>'Production Data'!H30</f>
        <v>60</v>
      </c>
    </row>
    <row r="6" spans="2:14" x14ac:dyDescent="0.2">
      <c r="B6" s="100"/>
      <c r="C6" s="436" t="s">
        <v>343</v>
      </c>
      <c r="D6" s="436"/>
      <c r="E6" s="87">
        <f>IF('Production Data'!H28='Drop Box Names'!B29,IF('Production Data'!H60='Drop Box Names'!B32,'Production Data'!I61,'Production Data'!H61),0)</f>
        <v>0.05</v>
      </c>
      <c r="F6" s="100"/>
      <c r="G6" s="100"/>
      <c r="H6" s="436" t="s">
        <v>343</v>
      </c>
      <c r="I6" s="436"/>
      <c r="J6" s="87">
        <v>0</v>
      </c>
      <c r="K6" s="210"/>
      <c r="L6" s="211" t="s">
        <v>431</v>
      </c>
    </row>
    <row r="7" spans="2:14" x14ac:dyDescent="0.2">
      <c r="B7" s="100"/>
      <c r="C7" s="436" t="s">
        <v>526</v>
      </c>
      <c r="D7" s="436"/>
      <c r="E7" s="189">
        <f>ROUNDUP((E5*(1-E6)),0)</f>
        <v>57</v>
      </c>
      <c r="F7" s="100"/>
      <c r="G7" s="100"/>
      <c r="H7" s="436" t="s">
        <v>526</v>
      </c>
      <c r="I7" s="436"/>
      <c r="J7" s="189">
        <f>ROUNDUP((J5*(1-J6)),0)</f>
        <v>60</v>
      </c>
    </row>
    <row r="8" spans="2:14" x14ac:dyDescent="0.2">
      <c r="D8" s="128"/>
      <c r="H8" s="129"/>
    </row>
    <row r="9" spans="2:14" ht="25.5" x14ac:dyDescent="0.2">
      <c r="B9" s="433"/>
      <c r="C9" s="434"/>
      <c r="D9" s="435"/>
      <c r="E9" s="132" t="s">
        <v>319</v>
      </c>
      <c r="F9" s="132" t="s">
        <v>344</v>
      </c>
      <c r="G9" s="132" t="s">
        <v>333</v>
      </c>
      <c r="H9" s="132" t="s">
        <v>320</v>
      </c>
      <c r="I9" s="132" t="s">
        <v>323</v>
      </c>
      <c r="J9" s="132" t="s">
        <v>324</v>
      </c>
      <c r="K9" s="132" t="s">
        <v>321</v>
      </c>
      <c r="L9" s="132" t="s">
        <v>322</v>
      </c>
      <c r="M9" s="132" t="s">
        <v>325</v>
      </c>
      <c r="N9" s="132" t="s">
        <v>331</v>
      </c>
    </row>
    <row r="10" spans="2:14" x14ac:dyDescent="0.2">
      <c r="B10" s="430" t="s">
        <v>332</v>
      </c>
      <c r="C10" s="431"/>
      <c r="D10" s="432"/>
      <c r="E10" s="249"/>
      <c r="F10" s="249"/>
      <c r="G10" s="249"/>
      <c r="H10" s="249"/>
      <c r="I10" s="249"/>
      <c r="J10" s="249"/>
      <c r="K10" s="249"/>
      <c r="L10" s="249"/>
      <c r="M10" s="249"/>
      <c r="N10" s="249"/>
    </row>
    <row r="11" spans="2:14" x14ac:dyDescent="0.2">
      <c r="B11" s="133"/>
      <c r="C11" s="433" t="s">
        <v>330</v>
      </c>
      <c r="D11" s="435"/>
      <c r="E11" s="289">
        <f>IF('Production Data'!H28='Drop Box Names'!B29,E7,J7)</f>
        <v>57</v>
      </c>
      <c r="F11" s="183">
        <f>IF('Production Data'!H64='Drop Box Names'!B32,'Production Data'!I65,'Production Data'!H65)</f>
        <v>0.05</v>
      </c>
      <c r="G11" s="134">
        <v>1</v>
      </c>
      <c r="H11" s="103">
        <f>'Production Data'!H7</f>
        <v>250</v>
      </c>
      <c r="I11" s="131">
        <f>(E11*H11)-((E11*H11)*(F11/2))</f>
        <v>13893.75</v>
      </c>
      <c r="J11" s="131">
        <f>I11/12</f>
        <v>1157.8125</v>
      </c>
      <c r="K11" s="103"/>
      <c r="L11" s="103"/>
      <c r="M11" s="103"/>
      <c r="N11" s="103">
        <f>E11*(1-F11)</f>
        <v>54.15</v>
      </c>
    </row>
    <row r="12" spans="2:14" x14ac:dyDescent="0.2">
      <c r="B12" s="133"/>
      <c r="C12" s="433" t="s">
        <v>326</v>
      </c>
      <c r="D12" s="435"/>
      <c r="E12" s="103">
        <f>E11*(1-F11/2)</f>
        <v>55.574999999999996</v>
      </c>
      <c r="F12" s="103"/>
      <c r="G12" s="131"/>
      <c r="H12" s="131">
        <f>((H11*2)+H13)/3</f>
        <v>237.5</v>
      </c>
      <c r="I12" s="103"/>
      <c r="J12" s="103"/>
      <c r="K12" s="131">
        <f>E12*H12/2</f>
        <v>6599.5312499999991</v>
      </c>
      <c r="L12" s="96">
        <f>K12/12</f>
        <v>549.96093749999989</v>
      </c>
      <c r="M12" s="96">
        <f>((J11*2)+J13)/3</f>
        <v>1079.5240885416667</v>
      </c>
      <c r="N12" s="103">
        <f>N11*(1-F11/2)</f>
        <v>52.796250000000001</v>
      </c>
    </row>
    <row r="13" spans="2:14" x14ac:dyDescent="0.2">
      <c r="B13" s="133"/>
      <c r="C13" s="433" t="s">
        <v>327</v>
      </c>
      <c r="D13" s="435"/>
      <c r="E13" s="103">
        <f>E11*(1-F11)</f>
        <v>54.15</v>
      </c>
      <c r="F13" s="184">
        <f>IF('Production Data'!H64='Drop Box Names'!B32,'Production Data'!D121,'Production Data'!G121)</f>
        <v>7.4999999999999997E-2</v>
      </c>
      <c r="G13" s="134">
        <f>'Production Data'!I81</f>
        <v>0.85</v>
      </c>
      <c r="H13" s="103">
        <f>H11*G13</f>
        <v>212.5</v>
      </c>
      <c r="I13" s="96">
        <f>(E13*H13)-(E13*H13*F13/2)</f>
        <v>11075.3671875</v>
      </c>
      <c r="J13" s="96">
        <f>I13/12</f>
        <v>922.947265625</v>
      </c>
      <c r="K13" s="103"/>
      <c r="L13" s="103"/>
      <c r="M13" s="96">
        <f>AVERAGE(J11,J13)</f>
        <v>1040.3798828125</v>
      </c>
      <c r="N13" s="103">
        <f>E13*(1-F13)</f>
        <v>50.088750000000005</v>
      </c>
    </row>
    <row r="14" spans="2:14" x14ac:dyDescent="0.2">
      <c r="B14" s="133"/>
      <c r="C14" s="433" t="s">
        <v>328</v>
      </c>
      <c r="D14" s="435"/>
      <c r="E14" s="103">
        <f>E13*(1-F13/2)</f>
        <v>52.119374999999998</v>
      </c>
      <c r="F14" s="103"/>
      <c r="G14" s="103"/>
      <c r="H14" s="103">
        <f>(H11+H13+(H15/2))/3</f>
        <v>182.5</v>
      </c>
      <c r="I14" s="103"/>
      <c r="J14" s="103"/>
      <c r="K14" s="103">
        <f>E14*H14/2</f>
        <v>4755.8929687499995</v>
      </c>
      <c r="L14" s="103">
        <f>K14/12</f>
        <v>396.32441406249995</v>
      </c>
      <c r="M14" s="103">
        <f>(J11+J13+(J15/2))/3</f>
        <v>804.46012369791663</v>
      </c>
      <c r="N14" s="103">
        <f>N13*(1-F13/2)</f>
        <v>48.210421875000009</v>
      </c>
    </row>
    <row r="15" spans="2:14" x14ac:dyDescent="0.2">
      <c r="B15" s="133"/>
      <c r="C15" s="433" t="s">
        <v>329</v>
      </c>
      <c r="D15" s="435"/>
      <c r="E15" s="103">
        <f>E13*(1-F13)</f>
        <v>50.088750000000005</v>
      </c>
      <c r="F15" s="184">
        <f>IF('Production Data'!H64='Drop Box Names'!B32,'Production Data'!E121,'Production Data'!H121)</f>
        <v>0.125</v>
      </c>
      <c r="G15" s="134">
        <f>'Production Data'!I82</f>
        <v>0.68</v>
      </c>
      <c r="H15" s="103">
        <f>H11*G15</f>
        <v>170</v>
      </c>
      <c r="I15" s="131">
        <f>(E15*H15)-(E15*H15*F15/2)</f>
        <v>7982.8945312500018</v>
      </c>
      <c r="J15" s="131">
        <f>I15/12</f>
        <v>665.24121093750011</v>
      </c>
      <c r="K15" s="103"/>
      <c r="L15" s="103"/>
      <c r="M15" s="131">
        <f>AVERAGE(J11,J13,J15)</f>
        <v>915.33365885416663</v>
      </c>
      <c r="N15" s="103">
        <f>E15*(1-F15)</f>
        <v>43.827656250000004</v>
      </c>
    </row>
    <row r="16" spans="2:14" x14ac:dyDescent="0.2">
      <c r="B16" s="95"/>
      <c r="C16" s="198"/>
      <c r="D16" s="198"/>
      <c r="E16" s="199"/>
      <c r="F16" s="200"/>
      <c r="G16" s="199"/>
      <c r="H16" s="201"/>
      <c r="I16" s="202"/>
      <c r="J16" s="202"/>
      <c r="K16" s="199"/>
      <c r="L16" s="199"/>
      <c r="M16" s="202"/>
      <c r="N16" s="199"/>
    </row>
    <row r="17" spans="2:21" ht="36.75" customHeight="1" x14ac:dyDescent="0.2">
      <c r="B17" s="443"/>
      <c r="C17" s="443"/>
      <c r="D17" s="443"/>
      <c r="E17" s="309" t="s">
        <v>372</v>
      </c>
      <c r="F17" s="310" t="s">
        <v>555</v>
      </c>
      <c r="G17" s="135" t="s">
        <v>375</v>
      </c>
      <c r="H17" s="135" t="s">
        <v>387</v>
      </c>
      <c r="N17" s="202"/>
      <c r="O17" s="199"/>
    </row>
    <row r="18" spans="2:21" x14ac:dyDescent="0.2">
      <c r="B18" s="438" t="s">
        <v>389</v>
      </c>
      <c r="C18" s="438"/>
      <c r="D18" s="438"/>
      <c r="E18" s="439"/>
      <c r="F18" s="440"/>
      <c r="G18" s="440"/>
      <c r="H18" s="441"/>
      <c r="I18" s="201"/>
      <c r="N18" s="202"/>
      <c r="O18" s="199"/>
      <c r="R18" s="204">
        <f>(3*50)/(30*25)</f>
        <v>0.2</v>
      </c>
      <c r="S18" s="204">
        <f>(3.5*50)/(30*25)</f>
        <v>0.23333333333333334</v>
      </c>
      <c r="T18" s="43" t="s">
        <v>374</v>
      </c>
    </row>
    <row r="19" spans="2:21" x14ac:dyDescent="0.2">
      <c r="B19" s="133"/>
      <c r="C19" s="442" t="s">
        <v>376</v>
      </c>
      <c r="D19" s="442"/>
      <c r="E19" s="131">
        <f>(7*50)/25</f>
        <v>14</v>
      </c>
      <c r="F19" s="131">
        <v>18</v>
      </c>
      <c r="G19" s="208">
        <f>AVERAGE(R18:S18)</f>
        <v>0.21666666666666667</v>
      </c>
      <c r="H19" s="103">
        <f>G19*365</f>
        <v>79.083333333333343</v>
      </c>
      <c r="J19" s="213" t="s">
        <v>373</v>
      </c>
      <c r="R19" s="204">
        <f>(4*50)/(30*25)</f>
        <v>0.26666666666666666</v>
      </c>
      <c r="S19" s="204">
        <f>(4.5*50)/(30*25)</f>
        <v>0.3</v>
      </c>
      <c r="T19" s="43" t="s">
        <v>374</v>
      </c>
    </row>
    <row r="20" spans="2:21" x14ac:dyDescent="0.2">
      <c r="B20" s="133"/>
      <c r="C20" s="442" t="s">
        <v>377</v>
      </c>
      <c r="D20" s="442"/>
      <c r="E20" s="131">
        <f>(50*9)/25</f>
        <v>18</v>
      </c>
      <c r="F20" s="131">
        <v>20</v>
      </c>
      <c r="G20" s="208">
        <f>AVERAGE(R19:S19)</f>
        <v>0.28333333333333333</v>
      </c>
      <c r="H20" s="103">
        <f t="shared" ref="H20:H21" si="0">G20*365</f>
        <v>103.41666666666666</v>
      </c>
      <c r="I20" s="201"/>
      <c r="R20" s="204">
        <f t="shared" ref="R20" si="1">(3*50)/(30*25)</f>
        <v>0.2</v>
      </c>
      <c r="S20" s="204">
        <f>(4*50)/(30*25)</f>
        <v>0.26666666666666666</v>
      </c>
      <c r="T20" s="43" t="s">
        <v>374</v>
      </c>
    </row>
    <row r="21" spans="2:21" x14ac:dyDescent="0.2">
      <c r="B21" s="133"/>
      <c r="C21" s="436" t="s">
        <v>378</v>
      </c>
      <c r="D21" s="436"/>
      <c r="E21" s="189">
        <f>(7*50)/25</f>
        <v>14</v>
      </c>
      <c r="F21" s="189">
        <v>18</v>
      </c>
      <c r="G21" s="208">
        <f>AVERAGE(R20:S20)</f>
        <v>0.23333333333333334</v>
      </c>
      <c r="H21" s="103">
        <f t="shared" si="0"/>
        <v>85.166666666666671</v>
      </c>
      <c r="I21" s="201"/>
      <c r="J21" s="198"/>
      <c r="R21" s="204"/>
      <c r="S21" s="204"/>
    </row>
    <row r="22" spans="2:21" x14ac:dyDescent="0.2">
      <c r="B22" s="95"/>
      <c r="C22" s="198"/>
      <c r="D22" s="198"/>
      <c r="E22" s="199"/>
      <c r="F22" s="203"/>
      <c r="G22" s="199"/>
      <c r="H22" s="201"/>
      <c r="I22" s="198"/>
      <c r="J22" s="206"/>
      <c r="K22" s="205"/>
      <c r="L22" s="199"/>
      <c r="Q22" s="204"/>
      <c r="R22" s="204"/>
    </row>
    <row r="23" spans="2:21" x14ac:dyDescent="0.2">
      <c r="B23" s="95"/>
      <c r="C23" s="436" t="s">
        <v>381</v>
      </c>
      <c r="D23" s="436"/>
      <c r="E23" s="436" t="str">
        <f>IF('Production Data'!H4='Drop Box Names'!B21,'Drop Box Names'!B63,IF('Production Data'!H4='Drop Box Names'!B22,'Drop Box Names'!B63, IF('Production Data'!H4='Drop Box Names'!B23,'Drop Box Names'!B62,IF('Production Data'!H4='Drop Box Names'!B24,'Drop Box Names'!B62,IF('Production Data'!H4='Drop Box Names'!B25,'Drop Box Names'!B62,IF('Production Data'!H4='Drop Box Names'!B26,'Drop Box Names'!B61))))))</f>
        <v>Commerial Brown Egg Layer</v>
      </c>
      <c r="F23" s="436"/>
      <c r="G23" s="436"/>
      <c r="H23" s="201"/>
      <c r="I23" s="212" t="s">
        <v>394</v>
      </c>
      <c r="J23" s="206"/>
      <c r="K23" s="205"/>
      <c r="L23" s="199"/>
      <c r="Q23" s="204"/>
      <c r="R23" s="204"/>
    </row>
    <row r="24" spans="2:21" x14ac:dyDescent="0.2">
      <c r="B24" s="95"/>
    </row>
    <row r="25" spans="2:21" x14ac:dyDescent="0.2">
      <c r="B25" s="438" t="s">
        <v>388</v>
      </c>
      <c r="C25" s="438"/>
      <c r="D25" s="438"/>
      <c r="E25" s="189" t="s">
        <v>385</v>
      </c>
      <c r="F25" s="189" t="s">
        <v>386</v>
      </c>
      <c r="M25" s="127"/>
    </row>
    <row r="26" spans="2:21" x14ac:dyDescent="0.2">
      <c r="B26" s="133"/>
      <c r="C26" s="436" t="s">
        <v>334</v>
      </c>
      <c r="D26" s="436"/>
      <c r="E26" s="64">
        <f>E5</f>
        <v>60</v>
      </c>
      <c r="F26" s="103">
        <f>E5</f>
        <v>60</v>
      </c>
      <c r="M26" s="127"/>
    </row>
    <row r="27" spans="2:21" x14ac:dyDescent="0.2">
      <c r="B27" s="100"/>
      <c r="C27" s="436" t="s">
        <v>335</v>
      </c>
      <c r="D27" s="436"/>
      <c r="E27" s="288">
        <f>E11</f>
        <v>57</v>
      </c>
      <c r="F27" s="289">
        <f>E11</f>
        <v>57</v>
      </c>
      <c r="P27" s="130"/>
      <c r="Q27" s="130"/>
    </row>
    <row r="28" spans="2:21" x14ac:dyDescent="0.2">
      <c r="B28" s="100"/>
      <c r="C28" s="436" t="s">
        <v>371</v>
      </c>
      <c r="D28" s="436"/>
      <c r="E28" s="136">
        <f>IF(E23='Drop Box Names'!B61,E19,IF(E23='Drop Box Names'!B62,E21,E20))</f>
        <v>14</v>
      </c>
      <c r="F28" s="103">
        <f>'Production Data'!H49</f>
        <v>16</v>
      </c>
      <c r="G28" s="127"/>
      <c r="H28" s="211" t="s">
        <v>384</v>
      </c>
      <c r="I28" s="127"/>
      <c r="J28" s="127"/>
      <c r="L28" s="127"/>
      <c r="M28" s="127"/>
      <c r="N28" s="127"/>
      <c r="P28" s="127"/>
      <c r="S28" s="127"/>
      <c r="T28" s="127"/>
      <c r="U28" s="127"/>
    </row>
    <row r="29" spans="2:21" x14ac:dyDescent="0.2">
      <c r="B29" s="100"/>
      <c r="C29" s="448"/>
      <c r="D29" s="449"/>
      <c r="E29" s="136"/>
      <c r="F29" s="103"/>
      <c r="G29" s="127"/>
      <c r="I29" s="127"/>
      <c r="J29" s="127"/>
      <c r="L29" s="127"/>
      <c r="M29" s="127"/>
      <c r="N29" s="127"/>
      <c r="P29" s="127"/>
      <c r="S29" s="127"/>
      <c r="T29" s="127"/>
      <c r="U29" s="127"/>
    </row>
    <row r="30" spans="2:21" x14ac:dyDescent="0.2">
      <c r="B30" s="100"/>
      <c r="C30" s="436" t="s">
        <v>336</v>
      </c>
      <c r="D30" s="436"/>
      <c r="E30" s="64">
        <f>E27*E28</f>
        <v>798</v>
      </c>
      <c r="F30" s="103">
        <f>F27*F28</f>
        <v>912</v>
      </c>
      <c r="G30" s="127" t="s">
        <v>275</v>
      </c>
      <c r="I30" s="127"/>
      <c r="J30" s="127"/>
      <c r="L30" s="127"/>
      <c r="M30" s="127"/>
      <c r="N30" s="127"/>
      <c r="P30" s="127"/>
      <c r="S30" s="127"/>
      <c r="T30" s="127"/>
      <c r="U30" s="127"/>
    </row>
    <row r="31" spans="2:21" x14ac:dyDescent="0.2">
      <c r="B31" s="100"/>
      <c r="C31" s="436" t="s">
        <v>337</v>
      </c>
      <c r="D31" s="436"/>
      <c r="E31" s="64">
        <f>(E26-E27)*E28/2</f>
        <v>21</v>
      </c>
      <c r="F31" s="64">
        <f>(F26-F27)*F28/2</f>
        <v>24</v>
      </c>
      <c r="G31" s="127" t="s">
        <v>275</v>
      </c>
      <c r="H31" s="211" t="s">
        <v>339</v>
      </c>
      <c r="I31" s="127"/>
      <c r="J31" s="127"/>
      <c r="L31" s="127"/>
      <c r="M31" s="127"/>
      <c r="N31" s="127"/>
      <c r="P31" s="127"/>
      <c r="S31" s="127"/>
      <c r="T31" s="127"/>
      <c r="U31" s="127"/>
    </row>
    <row r="32" spans="2:21" x14ac:dyDescent="0.2">
      <c r="B32" s="100"/>
      <c r="C32" s="436" t="s">
        <v>338</v>
      </c>
      <c r="D32" s="436"/>
      <c r="E32" s="64">
        <f>E30+E31</f>
        <v>819</v>
      </c>
      <c r="F32" s="64">
        <f>F30+F31</f>
        <v>936</v>
      </c>
      <c r="G32" s="127" t="s">
        <v>275</v>
      </c>
      <c r="H32" s="211" t="s">
        <v>340</v>
      </c>
      <c r="I32" s="127"/>
      <c r="J32" s="127"/>
      <c r="L32" s="127"/>
      <c r="M32" s="127"/>
      <c r="N32" s="127"/>
      <c r="P32" s="127"/>
      <c r="S32" s="127"/>
      <c r="T32" s="127"/>
      <c r="U32" s="127"/>
    </row>
    <row r="33" spans="2:21" x14ac:dyDescent="0.2">
      <c r="C33" s="198"/>
      <c r="D33" s="198"/>
      <c r="E33" s="49"/>
      <c r="F33" s="49"/>
      <c r="G33" s="127"/>
      <c r="H33" s="211"/>
      <c r="I33" s="127"/>
      <c r="J33" s="127"/>
      <c r="L33" s="127"/>
      <c r="M33" s="127"/>
      <c r="N33" s="127"/>
      <c r="P33" s="127"/>
      <c r="S33" s="127"/>
      <c r="T33" s="127"/>
      <c r="U33" s="127"/>
    </row>
    <row r="34" spans="2:21" x14ac:dyDescent="0.2">
      <c r="C34" s="198"/>
      <c r="D34" s="198"/>
      <c r="E34" s="49"/>
      <c r="F34" s="49"/>
      <c r="G34" s="127"/>
      <c r="H34" s="211"/>
      <c r="I34" s="127"/>
      <c r="J34" s="127"/>
      <c r="L34" s="127"/>
      <c r="M34" s="127"/>
      <c r="N34" s="127"/>
      <c r="P34" s="127"/>
      <c r="S34" s="127"/>
      <c r="T34" s="127"/>
      <c r="U34" s="127"/>
    </row>
    <row r="35" spans="2:21" x14ac:dyDescent="0.2">
      <c r="C35" s="198"/>
      <c r="D35" s="198"/>
      <c r="E35" s="49"/>
      <c r="F35" s="49"/>
      <c r="G35" s="127"/>
      <c r="H35" s="211"/>
      <c r="I35" s="127"/>
      <c r="J35" s="127"/>
      <c r="L35" s="127"/>
      <c r="M35" s="127"/>
      <c r="N35" s="127"/>
      <c r="P35" s="127"/>
      <c r="S35" s="127"/>
      <c r="T35" s="127"/>
      <c r="U35" s="127"/>
    </row>
    <row r="36" spans="2:21" x14ac:dyDescent="0.2">
      <c r="C36" s="198"/>
      <c r="D36" s="198"/>
      <c r="E36" s="197"/>
      <c r="F36" s="127"/>
      <c r="H36" s="127"/>
      <c r="I36" s="127"/>
      <c r="J36" s="127"/>
      <c r="L36" s="127"/>
      <c r="O36" s="127"/>
      <c r="P36" s="127"/>
      <c r="Q36" s="127"/>
    </row>
    <row r="37" spans="2:21" ht="38.1" customHeight="1" x14ac:dyDescent="0.2">
      <c r="B37" s="447"/>
      <c r="C37" s="447"/>
      <c r="D37" s="447"/>
      <c r="E37" s="132" t="s">
        <v>345</v>
      </c>
      <c r="F37" s="135" t="s">
        <v>344</v>
      </c>
      <c r="G37" s="132" t="s">
        <v>405</v>
      </c>
      <c r="H37" s="132" t="s">
        <v>370</v>
      </c>
      <c r="I37" s="135" t="s">
        <v>368</v>
      </c>
      <c r="J37" s="135"/>
      <c r="K37" s="132" t="s">
        <v>369</v>
      </c>
      <c r="L37" s="135" t="s">
        <v>367</v>
      </c>
      <c r="O37" s="127"/>
      <c r="P37" s="127"/>
      <c r="Q37" s="127"/>
    </row>
    <row r="38" spans="2:21" x14ac:dyDescent="0.2">
      <c r="B38" s="438" t="s">
        <v>407</v>
      </c>
      <c r="C38" s="438"/>
      <c r="D38" s="438"/>
      <c r="E38" s="389"/>
      <c r="F38" s="390"/>
      <c r="G38" s="390"/>
      <c r="H38" s="390"/>
      <c r="I38" s="390"/>
      <c r="J38" s="390"/>
      <c r="K38" s="390"/>
      <c r="L38" s="391"/>
      <c r="O38" s="127"/>
      <c r="P38" s="127"/>
      <c r="Q38" s="127"/>
    </row>
    <row r="39" spans="2:21" x14ac:dyDescent="0.2">
      <c r="B39" s="100"/>
      <c r="C39" s="436" t="s">
        <v>330</v>
      </c>
      <c r="D39" s="436"/>
      <c r="E39" s="64">
        <f>E27</f>
        <v>57</v>
      </c>
      <c r="F39" s="73">
        <f>F11</f>
        <v>0.05</v>
      </c>
      <c r="G39" s="207">
        <f>IF(E23='Drop Box Names'!B61,G19,IF(E23='Drop Box Names'!B62,G21,G20))</f>
        <v>0.23333333333333334</v>
      </c>
      <c r="H39" s="64"/>
      <c r="I39" s="64">
        <f>E39*G39*365*(1-F39/2)</f>
        <v>4733.1374999999998</v>
      </c>
      <c r="J39" s="64"/>
      <c r="K39" s="64">
        <f>IF('Production Data'!$H$28='Drop Box Names'!$B$29,I39+($E$32/'Production Data'!$H$6),I39)</f>
        <v>5552.1374999999998</v>
      </c>
      <c r="L39" s="103">
        <f>K39/E39</f>
        <v>97.40592105263157</v>
      </c>
      <c r="O39" s="127"/>
      <c r="P39" s="127"/>
      <c r="Q39" s="127"/>
    </row>
    <row r="40" spans="2:21" x14ac:dyDescent="0.2">
      <c r="B40" s="100"/>
      <c r="C40" s="436" t="s">
        <v>326</v>
      </c>
      <c r="D40" s="436"/>
      <c r="E40" s="64">
        <f>E39*(1-F39/2)</f>
        <v>55.574999999999996</v>
      </c>
      <c r="F40" s="72">
        <f>IF('Production Data'!H64='Drop Box Names'!B32,'Production Data'!D121,'Production Data'!G121)</f>
        <v>7.4999999999999997E-2</v>
      </c>
      <c r="G40" s="207">
        <f>G39</f>
        <v>0.23333333333333334</v>
      </c>
      <c r="H40" s="64">
        <f>E40*G40*(365/2)*(1-F40/2)</f>
        <v>2277.8224218750001</v>
      </c>
      <c r="I40" s="64"/>
      <c r="J40" s="64">
        <f>(I39+H40)/1.5</f>
        <v>4673.9732812499997</v>
      </c>
      <c r="K40" s="64">
        <f>IF('Production Data'!$H$28='Drop Box Names'!$B$29,J40+($E$32/'Production Data'!$H$6),J40)</f>
        <v>5492.9732812499997</v>
      </c>
      <c r="L40" s="103">
        <f t="shared" ref="L40:L41" si="2">K40/E40</f>
        <v>98.83892543859649</v>
      </c>
      <c r="O40" s="127"/>
      <c r="P40" s="127"/>
      <c r="Q40" s="127"/>
    </row>
    <row r="41" spans="2:21" x14ac:dyDescent="0.2">
      <c r="B41" s="100"/>
      <c r="C41" s="436" t="s">
        <v>327</v>
      </c>
      <c r="D41" s="436"/>
      <c r="E41" s="64">
        <f>E39*(1-F39)</f>
        <v>54.15</v>
      </c>
      <c r="F41" s="72">
        <f>IF('Production Data'!H64='Drop Box Names'!B32,'Production Data'!D121,'Production Data'!G121)</f>
        <v>7.4999999999999997E-2</v>
      </c>
      <c r="G41" s="207">
        <f>G39</f>
        <v>0.23333333333333334</v>
      </c>
      <c r="H41" s="64"/>
      <c r="I41" s="64">
        <f>E41*G41*365*(1-F41/2)</f>
        <v>4438.8334374999995</v>
      </c>
      <c r="J41" s="64">
        <f>AVERAGE(I39,I41)</f>
        <v>4585.9854687499992</v>
      </c>
      <c r="K41" s="64">
        <f>IF('Production Data'!$H$28='Drop Box Names'!$B$29,J41+($E$32/'Production Data'!$H$6),J41)</f>
        <v>5404.9854687499992</v>
      </c>
      <c r="L41" s="103">
        <f t="shared" si="2"/>
        <v>99.815059441366557</v>
      </c>
      <c r="O41" s="127"/>
      <c r="P41" s="127"/>
      <c r="Q41" s="127"/>
    </row>
    <row r="42" spans="2:21" x14ac:dyDescent="0.2">
      <c r="B42" s="100"/>
      <c r="C42" s="436" t="s">
        <v>328</v>
      </c>
      <c r="D42" s="436"/>
      <c r="E42" s="64">
        <f>E41*(1-F41/2)</f>
        <v>52.119374999999998</v>
      </c>
      <c r="F42" s="72">
        <f>IF('Production Data'!H64='Drop Box Names'!B32,'Production Data'!E121,'Production Data'!H121)</f>
        <v>0.125</v>
      </c>
      <c r="G42" s="207">
        <f>G39</f>
        <v>0.23333333333333334</v>
      </c>
      <c r="H42" s="64">
        <f>E42*G42*(365/2)*(1-F42/2)</f>
        <v>2080.7031738281253</v>
      </c>
      <c r="I42" s="64"/>
      <c r="J42" s="64">
        <f>(I39+I41+H42)/2.5</f>
        <v>4501.0696445312497</v>
      </c>
      <c r="K42" s="64">
        <f>IF('Production Data'!$H$28='Drop Box Names'!$B$29,J42+($E$32/'Production Data'!$H$6),J42)</f>
        <v>5320.0696445312497</v>
      </c>
      <c r="L42" s="103">
        <f>K42/E42</f>
        <v>102.07470148157475</v>
      </c>
      <c r="O42" s="127"/>
      <c r="P42" s="127"/>
      <c r="Q42" s="127"/>
    </row>
    <row r="43" spans="2:21" x14ac:dyDescent="0.2">
      <c r="B43" s="100"/>
      <c r="C43" s="436" t="s">
        <v>329</v>
      </c>
      <c r="D43" s="436"/>
      <c r="E43" s="64">
        <f>E41*(1-F41)</f>
        <v>50.088750000000005</v>
      </c>
      <c r="F43" s="72">
        <f>IF('Production Data'!H64='Drop Box Names'!B32,'Production Data'!E121,'Production Data'!H121)</f>
        <v>0.125</v>
      </c>
      <c r="G43" s="207">
        <f>G39</f>
        <v>0.23333333333333334</v>
      </c>
      <c r="H43" s="100"/>
      <c r="I43" s="64">
        <f>E43*G43*365*(1-F43/2)</f>
        <v>3999.2736328125002</v>
      </c>
      <c r="J43" s="64">
        <f>AVERAGE(I39,I41,I43)</f>
        <v>4390.4148567708326</v>
      </c>
      <c r="K43" s="64">
        <f>IF('Production Data'!$H$28='Drop Box Names'!$B$29,J43+($E$32/'Production Data'!$H$6),J43)</f>
        <v>5209.4148567708326</v>
      </c>
      <c r="L43" s="103">
        <f>K43/E43</f>
        <v>104.00369058462893</v>
      </c>
      <c r="M43" s="127"/>
    </row>
    <row r="44" spans="2:21" x14ac:dyDescent="0.2">
      <c r="B44" s="438" t="s">
        <v>408</v>
      </c>
      <c r="C44" s="438"/>
      <c r="D44" s="438"/>
      <c r="E44" s="445"/>
      <c r="F44" s="446"/>
      <c r="G44" s="446"/>
      <c r="H44" s="446"/>
      <c r="I44" s="446"/>
      <c r="J44" s="446"/>
      <c r="K44" s="446"/>
      <c r="L44" s="446"/>
    </row>
    <row r="45" spans="2:21" x14ac:dyDescent="0.2">
      <c r="B45" s="100"/>
      <c r="C45" s="436" t="s">
        <v>330</v>
      </c>
      <c r="D45" s="436"/>
      <c r="E45" s="103">
        <f>E39</f>
        <v>57</v>
      </c>
      <c r="F45" s="184">
        <f>F39</f>
        <v>0.05</v>
      </c>
      <c r="G45" s="208">
        <f>'Production Data'!H50/365</f>
        <v>0.24657534246575341</v>
      </c>
      <c r="H45" s="100"/>
      <c r="I45" s="64">
        <f>E45*G45*365*(1-F45/2)</f>
        <v>5001.7499999999991</v>
      </c>
      <c r="J45" s="64"/>
      <c r="K45" s="64">
        <f>IF('Production Data'!$H$28='Drop Box Names'!$B$29,I45+($E$32/'Production Data'!$H$6),I45)</f>
        <v>5820.7499999999991</v>
      </c>
      <c r="L45" s="103">
        <f>K45/E45</f>
        <v>102.11842105263156</v>
      </c>
    </row>
    <row r="46" spans="2:21" x14ac:dyDescent="0.2">
      <c r="B46" s="100"/>
      <c r="C46" s="436" t="s">
        <v>326</v>
      </c>
      <c r="D46" s="436"/>
      <c r="E46" s="103">
        <f t="shared" ref="E46:F46" si="3">E40</f>
        <v>55.574999999999996</v>
      </c>
      <c r="F46" s="184">
        <f t="shared" si="3"/>
        <v>7.4999999999999997E-2</v>
      </c>
      <c r="G46" s="222">
        <f>'Production Data'!H50/365</f>
        <v>0.24657534246575341</v>
      </c>
      <c r="H46" s="64">
        <f>E46*G46*(365/2)*(1-F46/2)</f>
        <v>2407.0921874999995</v>
      </c>
      <c r="I46" s="64"/>
      <c r="J46" s="64">
        <f>(I45+H46)/1.5</f>
        <v>4939.2281249999987</v>
      </c>
      <c r="K46" s="64">
        <f>IF('Production Data'!$H$28='Drop Box Names'!$B$29,J46+($E$32/'Production Data'!$H$6),J46)</f>
        <v>5758.2281249999987</v>
      </c>
      <c r="L46" s="103">
        <f t="shared" ref="L46:L49" si="4">K46/E46</f>
        <v>103.61184210526314</v>
      </c>
    </row>
    <row r="47" spans="2:21" x14ac:dyDescent="0.2">
      <c r="B47" s="100"/>
      <c r="C47" s="436" t="s">
        <v>327</v>
      </c>
      <c r="D47" s="436"/>
      <c r="E47" s="103">
        <f t="shared" ref="E47:F47" si="5">E41</f>
        <v>54.15</v>
      </c>
      <c r="F47" s="184">
        <f t="shared" si="5"/>
        <v>7.4999999999999997E-2</v>
      </c>
      <c r="G47" s="207">
        <f>'Production Data'!H50/365</f>
        <v>0.24657534246575341</v>
      </c>
      <c r="H47" s="88"/>
      <c r="I47" s="64">
        <f>E47*G47*365*(1-F47/2)</f>
        <v>4690.7437499999996</v>
      </c>
      <c r="J47" s="64">
        <f>AVERAGE(I45,I47)</f>
        <v>4846.2468749999989</v>
      </c>
      <c r="K47" s="64">
        <f>IF('Production Data'!$H$28='Drop Box Names'!$B$29,J47+($E$32/'Production Data'!$H$6),J47)</f>
        <v>5665.2468749999989</v>
      </c>
      <c r="L47" s="103">
        <f t="shared" si="4"/>
        <v>104.62136426592797</v>
      </c>
    </row>
    <row r="48" spans="2:21" x14ac:dyDescent="0.2">
      <c r="B48" s="100"/>
      <c r="C48" s="436" t="s">
        <v>328</v>
      </c>
      <c r="D48" s="436"/>
      <c r="E48" s="103">
        <f t="shared" ref="E48:F48" si="6">E42</f>
        <v>52.119374999999998</v>
      </c>
      <c r="F48" s="184">
        <f t="shared" si="6"/>
        <v>0.125</v>
      </c>
      <c r="G48" s="207">
        <f>'Production Data'!H50/365</f>
        <v>0.24657534246575341</v>
      </c>
      <c r="H48" s="64">
        <f>E48*G48*(365/2)*(1-F48/2)</f>
        <v>2198.7861328125</v>
      </c>
      <c r="I48" s="64"/>
      <c r="J48" s="64">
        <f>(I45+I47+H48)/2.5</f>
        <v>4756.5119531249993</v>
      </c>
      <c r="K48" s="64">
        <f>IF('Production Data'!$H$28='Drop Box Names'!$B$29,J48+($E$32/'Production Data'!$H$6),J48)</f>
        <v>5575.5119531249993</v>
      </c>
      <c r="L48" s="103">
        <f t="shared" si="4"/>
        <v>106.97580224484656</v>
      </c>
    </row>
    <row r="49" spans="2:13" x14ac:dyDescent="0.2">
      <c r="B49" s="100"/>
      <c r="C49" s="436" t="s">
        <v>329</v>
      </c>
      <c r="D49" s="436"/>
      <c r="E49" s="103">
        <f t="shared" ref="E49:F49" si="7">E43</f>
        <v>50.088750000000005</v>
      </c>
      <c r="F49" s="184">
        <f t="shared" si="7"/>
        <v>0.125</v>
      </c>
      <c r="G49" s="207">
        <f>'Production Data'!H50/365</f>
        <v>0.24657534246575341</v>
      </c>
      <c r="H49" s="64"/>
      <c r="I49" s="64">
        <f t="shared" ref="I49" si="8">E49*G49*365*(1-F49/2)</f>
        <v>4226.23828125</v>
      </c>
      <c r="J49" s="64">
        <f>AVERAGE(I45,I47,I49)</f>
        <v>4639.5773437499993</v>
      </c>
      <c r="K49" s="64">
        <f>IF('Production Data'!$H$28='Drop Box Names'!$B$29,J49+($E$32/'Production Data'!$H$6),J49)</f>
        <v>5458.5773437499993</v>
      </c>
      <c r="L49" s="103">
        <f t="shared" si="4"/>
        <v>108.97811072845697</v>
      </c>
    </row>
    <row r="50" spans="2:13" x14ac:dyDescent="0.2">
      <c r="B50" s="438" t="s">
        <v>406</v>
      </c>
      <c r="C50" s="438"/>
      <c r="D50" s="438"/>
      <c r="E50" s="444"/>
      <c r="F50" s="444"/>
      <c r="G50" s="444"/>
      <c r="H50" s="444"/>
      <c r="I50" s="444"/>
      <c r="J50" s="444"/>
      <c r="K50" s="444"/>
      <c r="L50" s="444"/>
    </row>
    <row r="51" spans="2:13" x14ac:dyDescent="0.2">
      <c r="K51" s="199">
        <f>IF('Production Data'!$H$47='Drop Box Names'!$B$32,K39,K45)</f>
        <v>5552.1374999999998</v>
      </c>
      <c r="L51" s="199">
        <f>IF('Production Data'!$H$47='Drop Box Names'!$B$32,L39,L45)</f>
        <v>97.40592105263157</v>
      </c>
    </row>
    <row r="52" spans="2:13" x14ac:dyDescent="0.2">
      <c r="K52" s="199">
        <f>IF('Production Data'!$H$47='Drop Box Names'!$B$32,K40,K46)</f>
        <v>5492.9732812499997</v>
      </c>
      <c r="L52" s="199">
        <f>IF('Production Data'!$H$47='Drop Box Names'!$B$32,L40,L46)</f>
        <v>98.83892543859649</v>
      </c>
    </row>
    <row r="53" spans="2:13" x14ac:dyDescent="0.2">
      <c r="K53" s="199">
        <f>IF('Production Data'!$H$47='Drop Box Names'!$B$32,K41,K47)</f>
        <v>5404.9854687499992</v>
      </c>
      <c r="L53" s="199">
        <f>IF('Production Data'!$H$47='Drop Box Names'!$B$32,L41,L47)</f>
        <v>99.815059441366557</v>
      </c>
    </row>
    <row r="54" spans="2:13" x14ac:dyDescent="0.2">
      <c r="K54" s="199">
        <f>IF('Production Data'!$H$47='Drop Box Names'!$B$32,K42,K48)</f>
        <v>5320.0696445312497</v>
      </c>
      <c r="L54" s="199">
        <f>IF('Production Data'!$H$47='Drop Box Names'!$B$32,L42,L48)</f>
        <v>102.07470148157475</v>
      </c>
    </row>
    <row r="55" spans="2:13" x14ac:dyDescent="0.2">
      <c r="K55" s="199">
        <f>IF('Production Data'!$H$47='Drop Box Names'!$B$32,K43,K49)</f>
        <v>5209.4148567708326</v>
      </c>
      <c r="L55" s="199">
        <f>IF('Production Data'!$H$47='Drop Box Names'!$B$32,L43,L49)</f>
        <v>104.00369058462893</v>
      </c>
    </row>
    <row r="60" spans="2:13" ht="15" x14ac:dyDescent="0.25">
      <c r="C60" t="s">
        <v>250</v>
      </c>
      <c r="D60"/>
      <c r="E60" s="3" t="s">
        <v>261</v>
      </c>
      <c r="F60" s="3" t="s">
        <v>254</v>
      </c>
      <c r="G60" s="3" t="s">
        <v>260</v>
      </c>
      <c r="H60" s="3" t="s">
        <v>205</v>
      </c>
      <c r="I60" s="3">
        <v>20</v>
      </c>
      <c r="J60" s="3" t="s">
        <v>254</v>
      </c>
      <c r="K60" s="3">
        <f>5*52</f>
        <v>260</v>
      </c>
      <c r="L60"/>
      <c r="M60"/>
    </row>
    <row r="61" spans="2:13" ht="15" x14ac:dyDescent="0.25">
      <c r="C61" t="s">
        <v>249</v>
      </c>
      <c r="D61"/>
      <c r="E61" s="3" t="s">
        <v>263</v>
      </c>
      <c r="F61" s="3" t="s">
        <v>255</v>
      </c>
      <c r="G61" s="3" t="s">
        <v>256</v>
      </c>
      <c r="H61" s="3">
        <v>20</v>
      </c>
      <c r="I61" s="3" t="s">
        <v>260</v>
      </c>
      <c r="J61" s="3">
        <f>3*52</f>
        <v>156</v>
      </c>
      <c r="K61" s="3">
        <f>4*52</f>
        <v>208</v>
      </c>
      <c r="L61"/>
      <c r="M61" t="s">
        <v>264</v>
      </c>
    </row>
    <row r="62" spans="2:13" ht="15" x14ac:dyDescent="0.25">
      <c r="C62" t="s">
        <v>251</v>
      </c>
      <c r="D62"/>
      <c r="E62" s="3" t="s">
        <v>262</v>
      </c>
      <c r="F62" s="3" t="s">
        <v>255</v>
      </c>
      <c r="G62" s="3" t="s">
        <v>257</v>
      </c>
      <c r="H62" s="3" t="s">
        <v>259</v>
      </c>
      <c r="I62" s="3">
        <v>18</v>
      </c>
      <c r="J62" s="3" t="s">
        <v>257</v>
      </c>
      <c r="K62" s="3" t="s">
        <v>254</v>
      </c>
      <c r="L62"/>
      <c r="M62"/>
    </row>
    <row r="63" spans="2:13" ht="15" x14ac:dyDescent="0.25">
      <c r="C63" t="s">
        <v>252</v>
      </c>
      <c r="D63"/>
      <c r="E63" s="3" t="s">
        <v>262</v>
      </c>
      <c r="F63" s="3" t="s">
        <v>253</v>
      </c>
      <c r="G63" s="3" t="s">
        <v>205</v>
      </c>
      <c r="H63" s="3">
        <f>6*52</f>
        <v>312</v>
      </c>
      <c r="I63" s="3"/>
      <c r="J63" s="3"/>
      <c r="K63" s="3"/>
      <c r="L63"/>
      <c r="M63"/>
    </row>
    <row r="64" spans="2:13" ht="15" x14ac:dyDescent="0.25">
      <c r="C64" t="s">
        <v>79</v>
      </c>
      <c r="D64"/>
      <c r="E64" s="3" t="s">
        <v>262</v>
      </c>
      <c r="F64" s="3" t="s">
        <v>257</v>
      </c>
      <c r="G64" s="3" t="s">
        <v>258</v>
      </c>
      <c r="H64" s="3">
        <v>18</v>
      </c>
      <c r="I64" s="3"/>
      <c r="J64" s="3" t="s">
        <v>257</v>
      </c>
      <c r="K64" s="3" t="s">
        <v>254</v>
      </c>
      <c r="L64"/>
      <c r="M64"/>
    </row>
    <row r="65" spans="3:13" ht="15" x14ac:dyDescent="0.25">
      <c r="C65" t="s">
        <v>84</v>
      </c>
      <c r="D65"/>
      <c r="E65" s="3"/>
      <c r="F65" s="3"/>
      <c r="G65" s="3"/>
      <c r="H65" s="3"/>
      <c r="I65" s="3"/>
      <c r="J65" s="3"/>
      <c r="K65" s="3"/>
      <c r="L65"/>
      <c r="M65"/>
    </row>
  </sheetData>
  <mergeCells count="49">
    <mergeCell ref="C42:D42"/>
    <mergeCell ref="C43:D43"/>
    <mergeCell ref="B25:D25"/>
    <mergeCell ref="C27:D27"/>
    <mergeCell ref="C26:D26"/>
    <mergeCell ref="B37:D37"/>
    <mergeCell ref="C32:D32"/>
    <mergeCell ref="C31:D31"/>
    <mergeCell ref="C30:D30"/>
    <mergeCell ref="C28:D28"/>
    <mergeCell ref="C29:D29"/>
    <mergeCell ref="B17:D17"/>
    <mergeCell ref="B18:D18"/>
    <mergeCell ref="E50:L50"/>
    <mergeCell ref="E44:L44"/>
    <mergeCell ref="E38:L38"/>
    <mergeCell ref="B50:D50"/>
    <mergeCell ref="C48:D48"/>
    <mergeCell ref="C49:D49"/>
    <mergeCell ref="C45:D45"/>
    <mergeCell ref="B44:D44"/>
    <mergeCell ref="C46:D46"/>
    <mergeCell ref="C47:D47"/>
    <mergeCell ref="B38:D38"/>
    <mergeCell ref="C39:D39"/>
    <mergeCell ref="C40:D40"/>
    <mergeCell ref="C41:D41"/>
    <mergeCell ref="E18:H18"/>
    <mergeCell ref="E23:G23"/>
    <mergeCell ref="C23:D23"/>
    <mergeCell ref="C21:D21"/>
    <mergeCell ref="C20:D20"/>
    <mergeCell ref="C19:D19"/>
    <mergeCell ref="C15:D15"/>
    <mergeCell ref="C14:D14"/>
    <mergeCell ref="C13:D13"/>
    <mergeCell ref="C12:D12"/>
    <mergeCell ref="C11:D11"/>
    <mergeCell ref="B2:J2"/>
    <mergeCell ref="G4:J4"/>
    <mergeCell ref="B4:E4"/>
    <mergeCell ref="H7:I7"/>
    <mergeCell ref="H6:I6"/>
    <mergeCell ref="H5:I5"/>
    <mergeCell ref="B10:D10"/>
    <mergeCell ref="B9:D9"/>
    <mergeCell ref="C5:D5"/>
    <mergeCell ref="C6:D6"/>
    <mergeCell ref="C7:D7"/>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U78"/>
  <sheetViews>
    <sheetView topLeftCell="A16" zoomScaleNormal="100" workbookViewId="0">
      <selection activeCell="E28" sqref="E28"/>
    </sheetView>
  </sheetViews>
  <sheetFormatPr defaultColWidth="9.140625" defaultRowHeight="12.75" x14ac:dyDescent="0.2"/>
  <cols>
    <col min="1" max="1" width="9.140625" style="43"/>
    <col min="2" max="2" width="4.7109375" style="43" customWidth="1"/>
    <col min="3" max="3" width="12.85546875" style="43" customWidth="1"/>
    <col min="4" max="4" width="11.42578125" style="43" customWidth="1"/>
    <col min="5" max="5" width="10.7109375" style="43" customWidth="1"/>
    <col min="6" max="6" width="11.28515625" style="43" customWidth="1"/>
    <col min="7" max="7" width="13.85546875" style="43" customWidth="1"/>
    <col min="8" max="8" width="14.140625" style="43" customWidth="1"/>
    <col min="9" max="9" width="11.42578125" style="43" customWidth="1"/>
    <col min="10" max="10" width="12.28515625" style="43" customWidth="1"/>
    <col min="11" max="11" width="13.42578125" style="43" customWidth="1"/>
    <col min="12" max="12" width="12.7109375" style="43" customWidth="1"/>
    <col min="13" max="13" width="9.5703125" style="43" bestFit="1" customWidth="1"/>
    <col min="14" max="14" width="10.5703125" style="43" bestFit="1" customWidth="1"/>
    <col min="15" max="18" width="9.140625" style="43"/>
    <col min="19" max="19" width="9.5703125" style="43" bestFit="1" customWidth="1"/>
    <col min="20" max="16384" width="9.140625" style="43"/>
  </cols>
  <sheetData>
    <row r="2" spans="2:14" ht="15.75" x14ac:dyDescent="0.25">
      <c r="B2" s="437" t="s">
        <v>318</v>
      </c>
      <c r="C2" s="437"/>
      <c r="D2" s="437"/>
      <c r="E2" s="437"/>
      <c r="F2" s="437"/>
      <c r="G2" s="437"/>
      <c r="H2" s="437"/>
      <c r="I2" s="437"/>
      <c r="J2" s="437"/>
    </row>
    <row r="4" spans="2:14" x14ac:dyDescent="0.2">
      <c r="B4" s="438" t="s">
        <v>341</v>
      </c>
      <c r="C4" s="438"/>
      <c r="D4" s="438"/>
      <c r="E4" s="438"/>
      <c r="F4" s="100"/>
      <c r="G4" s="438" t="s">
        <v>342</v>
      </c>
      <c r="H4" s="438"/>
      <c r="I4" s="438"/>
      <c r="J4" s="438"/>
    </row>
    <row r="5" spans="2:14" x14ac:dyDescent="0.2">
      <c r="B5" s="100"/>
      <c r="C5" s="436" t="s">
        <v>486</v>
      </c>
      <c r="D5" s="436"/>
      <c r="E5" s="103">
        <f>'Production Data'!H30</f>
        <v>60</v>
      </c>
      <c r="F5" s="100"/>
      <c r="G5" s="100"/>
      <c r="H5" s="436" t="s">
        <v>527</v>
      </c>
      <c r="I5" s="436"/>
      <c r="J5" s="103">
        <f>'Production Data'!H30</f>
        <v>60</v>
      </c>
    </row>
    <row r="6" spans="2:14" x14ac:dyDescent="0.2">
      <c r="B6" s="100"/>
      <c r="C6" s="436" t="s">
        <v>343</v>
      </c>
      <c r="D6" s="436"/>
      <c r="E6" s="87">
        <f>IF('Production Data'!H28='Drop Box Names'!B29,IF('Production Data'!H60='Drop Box Names'!B32,'Production Data'!I61,'Production Data'!H61),0)</f>
        <v>0.05</v>
      </c>
      <c r="F6" s="100"/>
      <c r="G6" s="100"/>
      <c r="H6" s="436" t="s">
        <v>343</v>
      </c>
      <c r="I6" s="436"/>
      <c r="J6" s="87">
        <v>0</v>
      </c>
      <c r="K6" s="210"/>
      <c r="L6" s="211" t="s">
        <v>431</v>
      </c>
    </row>
    <row r="7" spans="2:14" x14ac:dyDescent="0.2">
      <c r="B7" s="100"/>
      <c r="C7" s="436" t="s">
        <v>526</v>
      </c>
      <c r="D7" s="436"/>
      <c r="E7" s="189">
        <f>ROUNDUP((E5*(1-E6)),0)</f>
        <v>57</v>
      </c>
      <c r="F7" s="100"/>
      <c r="G7" s="100"/>
      <c r="H7" s="436" t="s">
        <v>526</v>
      </c>
      <c r="I7" s="436"/>
      <c r="J7" s="189">
        <f>ROUNDUP((J5*(1-J6)),0)</f>
        <v>60</v>
      </c>
    </row>
    <row r="8" spans="2:14" x14ac:dyDescent="0.2">
      <c r="D8" s="128"/>
      <c r="H8" s="129"/>
    </row>
    <row r="9" spans="2:14" ht="25.5" x14ac:dyDescent="0.2">
      <c r="B9" s="433"/>
      <c r="C9" s="434"/>
      <c r="D9" s="435"/>
      <c r="E9" s="132" t="s">
        <v>319</v>
      </c>
      <c r="F9" s="132" t="s">
        <v>344</v>
      </c>
      <c r="G9" s="132" t="s">
        <v>333</v>
      </c>
      <c r="H9" s="132" t="s">
        <v>320</v>
      </c>
      <c r="I9" s="132" t="s">
        <v>323</v>
      </c>
      <c r="J9" s="132" t="s">
        <v>324</v>
      </c>
      <c r="K9" s="132" t="s">
        <v>321</v>
      </c>
      <c r="L9" s="132" t="s">
        <v>322</v>
      </c>
      <c r="M9" s="132" t="s">
        <v>325</v>
      </c>
      <c r="N9" s="132" t="s">
        <v>331</v>
      </c>
    </row>
    <row r="10" spans="2:14" x14ac:dyDescent="0.2">
      <c r="B10" s="430" t="s">
        <v>332</v>
      </c>
      <c r="C10" s="431"/>
      <c r="D10" s="432"/>
      <c r="E10" s="249"/>
      <c r="F10" s="249"/>
      <c r="G10" s="249"/>
      <c r="H10" s="249"/>
      <c r="I10" s="249"/>
      <c r="J10" s="249"/>
      <c r="K10" s="249"/>
      <c r="L10" s="249"/>
      <c r="M10" s="249"/>
      <c r="N10" s="249"/>
    </row>
    <row r="11" spans="2:14" x14ac:dyDescent="0.2">
      <c r="B11" s="133"/>
      <c r="C11" s="433" t="s">
        <v>330</v>
      </c>
      <c r="D11" s="435"/>
      <c r="E11" s="289">
        <f>IF('Production Data'!H28='Drop Box Names'!B29,E7,J7)</f>
        <v>57</v>
      </c>
      <c r="F11" s="183">
        <f>IF('Production Data'!H64='Drop Box Names'!B32,'Production Data'!I65,'Production Data'!H65)</f>
        <v>0.05</v>
      </c>
      <c r="G11" s="134">
        <v>1</v>
      </c>
      <c r="H11" s="103">
        <f>'Production Data'!H7</f>
        <v>250</v>
      </c>
      <c r="I11" s="131">
        <f>(E11*H11)-((E11*H11)*(F11/2))</f>
        <v>13893.75</v>
      </c>
      <c r="J11" s="131">
        <f>I11/12</f>
        <v>1157.8125</v>
      </c>
      <c r="K11" s="103"/>
      <c r="L11" s="103"/>
      <c r="M11" s="103"/>
      <c r="N11" s="103">
        <f>E11*(1-F11)</f>
        <v>54.15</v>
      </c>
    </row>
    <row r="12" spans="2:14" x14ac:dyDescent="0.2">
      <c r="B12" s="133"/>
      <c r="C12" s="433" t="s">
        <v>326</v>
      </c>
      <c r="D12" s="435"/>
      <c r="E12" s="103">
        <f>E11*(1-F11/2)</f>
        <v>55.574999999999996</v>
      </c>
      <c r="F12" s="103"/>
      <c r="G12" s="131"/>
      <c r="H12" s="131">
        <f>((H11*2)+H13)/3</f>
        <v>237.5</v>
      </c>
      <c r="I12" s="103"/>
      <c r="J12" s="103"/>
      <c r="K12" s="131">
        <f>E12*H12/2</f>
        <v>6599.5312499999991</v>
      </c>
      <c r="L12" s="96">
        <f>K12/12</f>
        <v>549.96093749999989</v>
      </c>
      <c r="M12" s="96">
        <f>((J11*2)+J13)/3</f>
        <v>1079.5240885416667</v>
      </c>
      <c r="N12" s="103">
        <f>N11*(1-F11/2)</f>
        <v>52.796250000000001</v>
      </c>
    </row>
    <row r="13" spans="2:14" x14ac:dyDescent="0.2">
      <c r="B13" s="133"/>
      <c r="C13" s="433" t="s">
        <v>327</v>
      </c>
      <c r="D13" s="435"/>
      <c r="E13" s="103">
        <f>E11*(1-F11)</f>
        <v>54.15</v>
      </c>
      <c r="F13" s="184">
        <f>IF('Production Data'!H64='Drop Box Names'!B32,'Production Data'!D121,'Production Data'!G121)</f>
        <v>7.4999999999999997E-2</v>
      </c>
      <c r="G13" s="134">
        <f>'Production Data'!I81</f>
        <v>0.85</v>
      </c>
      <c r="H13" s="103">
        <f>H11*G13</f>
        <v>212.5</v>
      </c>
      <c r="I13" s="96">
        <f>(E13*H13)-(E13*H13*F13/2)</f>
        <v>11075.3671875</v>
      </c>
      <c r="J13" s="96">
        <f>I13/12</f>
        <v>922.947265625</v>
      </c>
      <c r="K13" s="103"/>
      <c r="L13" s="103"/>
      <c r="M13" s="96">
        <f>AVERAGE(J11,J13)</f>
        <v>1040.3798828125</v>
      </c>
      <c r="N13" s="103">
        <f>E13*(1-F13)</f>
        <v>50.088750000000005</v>
      </c>
    </row>
    <row r="14" spans="2:14" x14ac:dyDescent="0.2">
      <c r="B14" s="133"/>
      <c r="C14" s="433" t="s">
        <v>328</v>
      </c>
      <c r="D14" s="435"/>
      <c r="E14" s="103">
        <f>E13*(1-F13/2)</f>
        <v>52.119374999999998</v>
      </c>
      <c r="F14" s="103"/>
      <c r="G14" s="103"/>
      <c r="H14" s="103">
        <f>(H11+H13+(H15/2))/3</f>
        <v>182.5</v>
      </c>
      <c r="I14" s="103"/>
      <c r="J14" s="103"/>
      <c r="K14" s="103">
        <f>E14*H14/2</f>
        <v>4755.8929687499995</v>
      </c>
      <c r="L14" s="103">
        <f>K14/12</f>
        <v>396.32441406249995</v>
      </c>
      <c r="M14" s="103">
        <f>(J11+J13+(J15/2))/3</f>
        <v>804.46012369791663</v>
      </c>
      <c r="N14" s="103">
        <f>N13*(1-F13/2)</f>
        <v>48.210421875000009</v>
      </c>
    </row>
    <row r="15" spans="2:14" x14ac:dyDescent="0.2">
      <c r="B15" s="133"/>
      <c r="C15" s="433" t="s">
        <v>329</v>
      </c>
      <c r="D15" s="435"/>
      <c r="E15" s="103">
        <f>E13*(1-F13)</f>
        <v>50.088750000000005</v>
      </c>
      <c r="F15" s="184">
        <f>IF('Production Data'!H64='Drop Box Names'!B32,'Production Data'!E121,'Production Data'!H121)</f>
        <v>0.125</v>
      </c>
      <c r="G15" s="134">
        <f>'Production Data'!I82</f>
        <v>0.68</v>
      </c>
      <c r="H15" s="103">
        <f>H11*G15</f>
        <v>170</v>
      </c>
      <c r="I15" s="131">
        <f>(E15*H15)-(E15*H15*F15/2)</f>
        <v>7982.8945312500018</v>
      </c>
      <c r="J15" s="131">
        <f>I15/12</f>
        <v>665.24121093750011</v>
      </c>
      <c r="K15" s="103"/>
      <c r="L15" s="103"/>
      <c r="M15" s="131">
        <f>AVERAGE(J11,J13,J15)</f>
        <v>915.33365885416663</v>
      </c>
      <c r="N15" s="103">
        <f>E15*(1-F15)</f>
        <v>43.827656250000004</v>
      </c>
    </row>
    <row r="16" spans="2:14" x14ac:dyDescent="0.2">
      <c r="B16" s="95"/>
      <c r="C16" s="198"/>
      <c r="D16" s="198"/>
      <c r="E16" s="199"/>
      <c r="F16" s="200"/>
      <c r="G16" s="199"/>
      <c r="H16" s="201"/>
      <c r="I16" s="202"/>
      <c r="J16" s="202"/>
      <c r="K16" s="199"/>
      <c r="L16" s="199"/>
      <c r="M16" s="202"/>
      <c r="N16" s="199"/>
    </row>
    <row r="17" spans="2:21" ht="36.75" customHeight="1" x14ac:dyDescent="0.2">
      <c r="B17" s="443"/>
      <c r="C17" s="443"/>
      <c r="D17" s="443"/>
      <c r="E17" s="450" t="s">
        <v>372</v>
      </c>
      <c r="F17" s="451"/>
      <c r="G17" s="135" t="s">
        <v>375</v>
      </c>
      <c r="H17" s="135" t="s">
        <v>387</v>
      </c>
      <c r="N17" s="202"/>
      <c r="O17" s="199"/>
    </row>
    <row r="18" spans="2:21" x14ac:dyDescent="0.2">
      <c r="B18" s="438" t="s">
        <v>389</v>
      </c>
      <c r="C18" s="438"/>
      <c r="D18" s="438"/>
      <c r="E18" s="439"/>
      <c r="F18" s="440"/>
      <c r="G18" s="440"/>
      <c r="H18" s="441"/>
      <c r="I18" s="201"/>
      <c r="N18" s="202"/>
      <c r="O18" s="199"/>
      <c r="R18" s="204">
        <f>(3*50)/(30*25)</f>
        <v>0.2</v>
      </c>
      <c r="S18" s="204">
        <f>(3.5*50)/(30*25)</f>
        <v>0.23333333333333334</v>
      </c>
      <c r="T18" s="43" t="s">
        <v>374</v>
      </c>
    </row>
    <row r="19" spans="2:21" x14ac:dyDescent="0.2">
      <c r="B19" s="133"/>
      <c r="C19" s="442" t="s">
        <v>376</v>
      </c>
      <c r="D19" s="442"/>
      <c r="E19" s="131">
        <f>(7*50)/25</f>
        <v>14</v>
      </c>
      <c r="F19" s="131" t="s">
        <v>382</v>
      </c>
      <c r="G19" s="208">
        <f>AVERAGE(R18:S18)</f>
        <v>0.21666666666666667</v>
      </c>
      <c r="H19" s="103">
        <f>G19*365</f>
        <v>79.083333333333343</v>
      </c>
      <c r="J19" s="213" t="s">
        <v>373</v>
      </c>
      <c r="R19" s="204">
        <f>(4*50)/(30*25)</f>
        <v>0.26666666666666666</v>
      </c>
      <c r="S19" s="204">
        <f>(4.5*50)/(30*25)</f>
        <v>0.3</v>
      </c>
      <c r="T19" s="43" t="s">
        <v>374</v>
      </c>
    </row>
    <row r="20" spans="2:21" x14ac:dyDescent="0.2">
      <c r="B20" s="133"/>
      <c r="C20" s="442" t="s">
        <v>377</v>
      </c>
      <c r="D20" s="442"/>
      <c r="E20" s="131">
        <f>(50*9)/25</f>
        <v>18</v>
      </c>
      <c r="F20" s="131" t="s">
        <v>383</v>
      </c>
      <c r="G20" s="208">
        <f>AVERAGE(R19:S19)</f>
        <v>0.28333333333333333</v>
      </c>
      <c r="H20" s="103">
        <f t="shared" ref="H20:H21" si="0">G20*365</f>
        <v>103.41666666666666</v>
      </c>
      <c r="I20" s="201"/>
      <c r="R20" s="204">
        <f t="shared" ref="R20" si="1">(3*50)/(30*25)</f>
        <v>0.2</v>
      </c>
      <c r="S20" s="204">
        <f>(4*50)/(30*25)</f>
        <v>0.26666666666666666</v>
      </c>
      <c r="T20" s="43" t="s">
        <v>374</v>
      </c>
    </row>
    <row r="21" spans="2:21" x14ac:dyDescent="0.2">
      <c r="B21" s="133"/>
      <c r="C21" s="436" t="s">
        <v>378</v>
      </c>
      <c r="D21" s="436"/>
      <c r="E21" s="189">
        <f>(7*50)/25</f>
        <v>14</v>
      </c>
      <c r="F21" s="189" t="s">
        <v>382</v>
      </c>
      <c r="G21" s="208">
        <f>AVERAGE(R20:S20)</f>
        <v>0.23333333333333334</v>
      </c>
      <c r="H21" s="103">
        <f t="shared" si="0"/>
        <v>85.166666666666671</v>
      </c>
      <c r="I21" s="201"/>
      <c r="J21" s="198"/>
      <c r="R21" s="204"/>
      <c r="S21" s="204"/>
    </row>
    <row r="22" spans="2:21" x14ac:dyDescent="0.2">
      <c r="B22" s="95"/>
      <c r="C22" s="198"/>
      <c r="D22" s="198"/>
      <c r="E22" s="199"/>
      <c r="F22" s="203"/>
      <c r="G22" s="199"/>
      <c r="H22" s="201"/>
      <c r="I22" s="198"/>
      <c r="J22" s="206"/>
      <c r="K22" s="205"/>
      <c r="L22" s="199"/>
      <c r="Q22" s="204"/>
      <c r="R22" s="204"/>
    </row>
    <row r="23" spans="2:21" x14ac:dyDescent="0.2">
      <c r="B23" s="95"/>
      <c r="C23" s="436" t="s">
        <v>381</v>
      </c>
      <c r="D23" s="436"/>
      <c r="E23" s="436" t="str">
        <f>IF('Production Data'!H4='Drop Box Names'!B21,'Drop Box Names'!B63,IF('Production Data'!H4='Drop Box Names'!B22,'Drop Box Names'!B63, IF('Production Data'!H4='Drop Box Names'!B23,'Drop Box Names'!B62,IF('Production Data'!H4='Drop Box Names'!B24,'Drop Box Names'!B62,IF('Production Data'!H4='Drop Box Names'!B25,'Drop Box Names'!B62,IF('Production Data'!H4='Drop Box Names'!B26,'Drop Box Names'!B61))))))</f>
        <v>Commerial Brown Egg Layer</v>
      </c>
      <c r="F23" s="436"/>
      <c r="G23" s="436"/>
      <c r="H23" s="201"/>
      <c r="I23" s="212" t="s">
        <v>394</v>
      </c>
      <c r="J23" s="206"/>
      <c r="K23" s="205"/>
      <c r="L23" s="199"/>
      <c r="Q23" s="204"/>
      <c r="R23" s="204"/>
    </row>
    <row r="24" spans="2:21" x14ac:dyDescent="0.2">
      <c r="B24" s="95"/>
      <c r="C24" s="198"/>
      <c r="D24" s="198"/>
      <c r="E24" s="198"/>
      <c r="F24" s="198"/>
      <c r="G24" s="198"/>
      <c r="H24" s="201"/>
      <c r="I24" s="212"/>
      <c r="J24" s="206"/>
      <c r="K24" s="205"/>
      <c r="L24" s="199"/>
      <c r="Q24" s="204"/>
      <c r="R24" s="204"/>
    </row>
    <row r="25" spans="2:21" x14ac:dyDescent="0.2">
      <c r="B25" s="95"/>
      <c r="F25" s="198"/>
      <c r="G25" s="198"/>
      <c r="H25" s="201"/>
      <c r="I25" s="212"/>
      <c r="J25" s="206"/>
      <c r="K25" s="205"/>
      <c r="L25" s="199"/>
      <c r="Q25" s="204"/>
      <c r="R25" s="204"/>
    </row>
    <row r="26" spans="2:21" x14ac:dyDescent="0.2">
      <c r="B26" s="95"/>
    </row>
    <row r="27" spans="2:21" x14ac:dyDescent="0.2">
      <c r="B27" s="438" t="s">
        <v>388</v>
      </c>
      <c r="C27" s="438"/>
      <c r="D27" s="438"/>
      <c r="E27" s="189" t="s">
        <v>385</v>
      </c>
      <c r="F27" s="189" t="s">
        <v>386</v>
      </c>
      <c r="M27" s="127"/>
    </row>
    <row r="28" spans="2:21" x14ac:dyDescent="0.2">
      <c r="B28" s="133"/>
      <c r="C28" s="436" t="s">
        <v>334</v>
      </c>
      <c r="D28" s="436"/>
      <c r="E28" s="64">
        <f>E5</f>
        <v>60</v>
      </c>
      <c r="F28" s="103">
        <f>E5</f>
        <v>60</v>
      </c>
      <c r="M28" s="127"/>
    </row>
    <row r="29" spans="2:21" x14ac:dyDescent="0.2">
      <c r="B29" s="100"/>
      <c r="C29" s="436" t="s">
        <v>335</v>
      </c>
      <c r="D29" s="436"/>
      <c r="E29" s="288">
        <f>E11</f>
        <v>57</v>
      </c>
      <c r="F29" s="289">
        <f>E11</f>
        <v>57</v>
      </c>
      <c r="P29" s="130"/>
      <c r="Q29" s="130"/>
    </row>
    <row r="30" spans="2:21" x14ac:dyDescent="0.2">
      <c r="B30" s="100"/>
      <c r="C30" s="436" t="s">
        <v>371</v>
      </c>
      <c r="D30" s="436"/>
      <c r="E30" s="136">
        <f>IF(E23='Drop Box Names'!B61,E19,IF(E23='Drop Box Names'!B62,E21,E20))</f>
        <v>14</v>
      </c>
      <c r="F30" s="103">
        <f>'Production Data'!H49</f>
        <v>16</v>
      </c>
      <c r="G30" s="127"/>
      <c r="H30" s="211" t="s">
        <v>384</v>
      </c>
      <c r="I30" s="127"/>
      <c r="J30" s="127"/>
      <c r="L30" s="127"/>
      <c r="M30" s="127"/>
      <c r="N30" s="127"/>
      <c r="P30" s="127"/>
      <c r="S30" s="127"/>
      <c r="T30" s="127"/>
      <c r="U30" s="127"/>
    </row>
    <row r="31" spans="2:21" x14ac:dyDescent="0.2">
      <c r="B31" s="100"/>
      <c r="C31" s="448"/>
      <c r="D31" s="449"/>
      <c r="E31" s="136"/>
      <c r="F31" s="103"/>
      <c r="G31" s="127"/>
      <c r="I31" s="127"/>
      <c r="J31" s="127"/>
      <c r="L31" s="127"/>
      <c r="M31" s="127"/>
      <c r="N31" s="127"/>
      <c r="P31" s="127"/>
      <c r="S31" s="127"/>
      <c r="T31" s="127"/>
      <c r="U31" s="127"/>
    </row>
    <row r="32" spans="2:21" x14ac:dyDescent="0.2">
      <c r="B32" s="100"/>
      <c r="C32" s="436" t="s">
        <v>336</v>
      </c>
      <c r="D32" s="436"/>
      <c r="E32" s="64">
        <f>E29*E30</f>
        <v>798</v>
      </c>
      <c r="F32" s="103">
        <f>F29*F30</f>
        <v>912</v>
      </c>
      <c r="G32" s="127" t="s">
        <v>275</v>
      </c>
      <c r="I32" s="127"/>
      <c r="J32" s="127"/>
      <c r="L32" s="127"/>
      <c r="M32" s="127"/>
      <c r="N32" s="127"/>
      <c r="P32" s="127"/>
      <c r="S32" s="127"/>
      <c r="T32" s="127"/>
      <c r="U32" s="127"/>
    </row>
    <row r="33" spans="2:21" x14ac:dyDescent="0.2">
      <c r="B33" s="100"/>
      <c r="C33" s="436" t="s">
        <v>337</v>
      </c>
      <c r="D33" s="436"/>
      <c r="E33" s="64">
        <f>(E28-E29)*E30/2</f>
        <v>21</v>
      </c>
      <c r="F33" s="64">
        <f>(F28-F29)*F30/2</f>
        <v>24</v>
      </c>
      <c r="G33" s="127" t="s">
        <v>275</v>
      </c>
      <c r="H33" s="211" t="s">
        <v>339</v>
      </c>
      <c r="I33" s="127"/>
      <c r="J33" s="127"/>
      <c r="L33" s="127"/>
      <c r="M33" s="127"/>
      <c r="N33" s="127"/>
      <c r="P33" s="127"/>
      <c r="S33" s="127"/>
      <c r="T33" s="127"/>
      <c r="U33" s="127"/>
    </row>
    <row r="34" spans="2:21" x14ac:dyDescent="0.2">
      <c r="B34" s="100"/>
      <c r="C34" s="436" t="s">
        <v>338</v>
      </c>
      <c r="D34" s="436"/>
      <c r="E34" s="64">
        <f>E32+E33</f>
        <v>819</v>
      </c>
      <c r="F34" s="64">
        <f>F32+F33</f>
        <v>936</v>
      </c>
      <c r="G34" s="127" t="s">
        <v>275</v>
      </c>
      <c r="H34" s="211" t="s">
        <v>340</v>
      </c>
      <c r="I34" s="127"/>
      <c r="J34" s="127"/>
      <c r="L34" s="127"/>
      <c r="M34" s="127"/>
      <c r="N34" s="127"/>
      <c r="P34" s="127"/>
      <c r="S34" s="127"/>
      <c r="T34" s="127"/>
      <c r="U34" s="127"/>
    </row>
    <row r="35" spans="2:21" x14ac:dyDescent="0.2">
      <c r="C35" s="198"/>
      <c r="D35" s="198"/>
      <c r="E35" s="49"/>
      <c r="F35" s="49"/>
      <c r="G35" s="127"/>
      <c r="H35" s="211"/>
      <c r="I35" s="127"/>
      <c r="J35" s="127"/>
      <c r="L35" s="127"/>
      <c r="M35" s="127"/>
      <c r="N35" s="127"/>
      <c r="P35" s="127"/>
      <c r="S35" s="127"/>
      <c r="T35" s="127"/>
      <c r="U35" s="127"/>
    </row>
    <row r="36" spans="2:21" x14ac:dyDescent="0.2">
      <c r="B36" s="43" t="s">
        <v>537</v>
      </c>
      <c r="C36" s="198"/>
      <c r="D36" s="198"/>
      <c r="E36" s="49" t="s">
        <v>385</v>
      </c>
      <c r="F36" s="49" t="s">
        <v>386</v>
      </c>
      <c r="G36" s="127"/>
      <c r="H36" s="211"/>
      <c r="I36" s="127"/>
      <c r="J36" s="127"/>
      <c r="L36" s="127"/>
      <c r="M36" s="127"/>
      <c r="N36" s="127"/>
      <c r="P36" s="127"/>
      <c r="S36" s="127"/>
      <c r="T36" s="127"/>
      <c r="U36" s="127"/>
    </row>
    <row r="37" spans="2:21" x14ac:dyDescent="0.2">
      <c r="C37" s="198" t="s">
        <v>538</v>
      </c>
      <c r="D37" s="198"/>
      <c r="E37" s="49">
        <f>IF('Production Data'!H28='Drop Box Names'!B29,E7,J7)</f>
        <v>57</v>
      </c>
      <c r="F37" s="49">
        <f>IF('Production Data'!H28='Drop Box Names'!B29,E7,J7)</f>
        <v>57</v>
      </c>
      <c r="G37" s="127"/>
      <c r="H37" s="211"/>
      <c r="I37" s="127"/>
      <c r="J37" s="127"/>
      <c r="L37" s="127"/>
      <c r="M37" s="127"/>
      <c r="N37" s="127"/>
      <c r="P37" s="127"/>
      <c r="S37" s="127"/>
      <c r="T37" s="127"/>
      <c r="U37" s="127"/>
    </row>
    <row r="38" spans="2:21" x14ac:dyDescent="0.2">
      <c r="C38" s="198" t="s">
        <v>539</v>
      </c>
      <c r="D38" s="198"/>
      <c r="E38" s="49">
        <f>'Production Data'!H11</f>
        <v>14</v>
      </c>
      <c r="F38" s="49">
        <f>'Production Data'!H11</f>
        <v>14</v>
      </c>
      <c r="G38" s="127"/>
      <c r="H38" s="211"/>
      <c r="I38" s="127"/>
      <c r="J38" s="127"/>
      <c r="L38" s="127"/>
      <c r="M38" s="127"/>
      <c r="N38" s="127"/>
      <c r="P38" s="127"/>
      <c r="S38" s="127"/>
      <c r="T38" s="127"/>
      <c r="U38" s="127"/>
    </row>
    <row r="39" spans="2:21" x14ac:dyDescent="0.2">
      <c r="C39" s="198" t="s">
        <v>540</v>
      </c>
      <c r="D39" s="198"/>
      <c r="E39" s="303">
        <f>IF(E23='Drop Box Names'!B61,G19,IF(E23='Drop Box Names'!B62,G21,G20))</f>
        <v>0.23333333333333334</v>
      </c>
      <c r="F39" s="303">
        <f>'Production Data'!H50/(('Production Data'!H9/2*31)+('Production Data'!H9/2*30))</f>
        <v>0.49180327868852458</v>
      </c>
      <c r="G39" s="127"/>
      <c r="H39" s="211"/>
      <c r="I39" s="127"/>
      <c r="J39" s="127"/>
      <c r="L39" s="127"/>
      <c r="M39" s="127"/>
      <c r="N39" s="127"/>
      <c r="P39" s="127"/>
      <c r="S39" s="127"/>
      <c r="T39" s="127"/>
      <c r="U39" s="127"/>
    </row>
    <row r="40" spans="2:21" x14ac:dyDescent="0.2">
      <c r="C40" s="198" t="s">
        <v>541</v>
      </c>
      <c r="D40" s="198"/>
      <c r="E40" s="197">
        <f>(E38/2*30*E39)+(E38/2*31*E39)</f>
        <v>99.633333333333326</v>
      </c>
      <c r="F40" s="49">
        <f>'Production Data'!H50</f>
        <v>90</v>
      </c>
      <c r="G40" s="127"/>
      <c r="H40" s="211"/>
      <c r="I40" s="127"/>
      <c r="J40" s="127"/>
      <c r="L40" s="127"/>
      <c r="M40" s="127"/>
      <c r="N40" s="127"/>
      <c r="P40" s="127"/>
      <c r="S40" s="127"/>
      <c r="T40" s="127"/>
      <c r="U40" s="127"/>
    </row>
    <row r="41" spans="2:21" x14ac:dyDescent="0.2">
      <c r="C41" s="198"/>
      <c r="D41" s="198"/>
      <c r="E41" s="49"/>
      <c r="F41" s="49"/>
      <c r="G41" s="127" t="s">
        <v>543</v>
      </c>
      <c r="H41" s="211"/>
      <c r="I41" s="127"/>
      <c r="J41" s="127"/>
      <c r="L41" s="127"/>
      <c r="M41" s="127"/>
      <c r="N41" s="127"/>
      <c r="P41" s="127"/>
      <c r="S41" s="127"/>
      <c r="T41" s="127"/>
      <c r="U41" s="127"/>
    </row>
    <row r="42" spans="2:21" x14ac:dyDescent="0.2">
      <c r="C42" s="43" t="s">
        <v>344</v>
      </c>
      <c r="E42" s="43">
        <f>IF('Production Data'!H64='Drop Box Names'!B32,'Production Data'!I65,'Production Data'!H65)</f>
        <v>0.05</v>
      </c>
      <c r="G42" s="127"/>
      <c r="H42" s="211"/>
      <c r="I42" s="127"/>
      <c r="J42" s="127"/>
      <c r="L42" s="127"/>
      <c r="M42" s="127"/>
      <c r="N42" s="127"/>
      <c r="P42" s="127"/>
      <c r="S42" s="127"/>
      <c r="T42" s="127"/>
      <c r="U42" s="127"/>
    </row>
    <row r="43" spans="2:21" x14ac:dyDescent="0.2">
      <c r="G43" s="127"/>
      <c r="H43" s="211"/>
      <c r="I43" s="127"/>
      <c r="J43" s="127"/>
      <c r="L43" s="127"/>
      <c r="M43" s="127"/>
      <c r="N43" s="127"/>
      <c r="P43" s="127"/>
      <c r="S43" s="127"/>
      <c r="T43" s="127"/>
      <c r="U43" s="127"/>
    </row>
    <row r="44" spans="2:21" x14ac:dyDescent="0.2">
      <c r="C44" s="198"/>
      <c r="D44" s="198"/>
      <c r="E44" s="49"/>
      <c r="F44" s="49"/>
      <c r="G44" s="127"/>
      <c r="H44" s="211"/>
      <c r="I44" s="127"/>
      <c r="J44" s="127"/>
      <c r="L44" s="127"/>
      <c r="M44" s="127"/>
      <c r="N44" s="127"/>
      <c r="P44" s="127"/>
      <c r="S44" s="127"/>
      <c r="T44" s="127"/>
      <c r="U44" s="127"/>
    </row>
    <row r="45" spans="2:21" x14ac:dyDescent="0.2">
      <c r="C45" s="198" t="s">
        <v>542</v>
      </c>
      <c r="D45" s="198"/>
      <c r="E45" s="49">
        <f>E40*E37</f>
        <v>5679.0999999999995</v>
      </c>
      <c r="F45" s="49">
        <f>F40*F37</f>
        <v>5130</v>
      </c>
      <c r="G45" s="127"/>
      <c r="H45" s="211"/>
      <c r="I45" s="127"/>
      <c r="J45" s="127"/>
      <c r="L45" s="127"/>
      <c r="M45" s="127"/>
      <c r="N45" s="127"/>
      <c r="P45" s="127"/>
      <c r="S45" s="127"/>
      <c r="T45" s="127"/>
      <c r="U45" s="127"/>
    </row>
    <row r="46" spans="2:21" x14ac:dyDescent="0.2">
      <c r="C46" s="198" t="str">
        <f>IF('Production Data'!H41='Drop Box Names'!B40,"Tons per Flock","Bags per Flock")</f>
        <v>Tons per Flock</v>
      </c>
      <c r="D46" s="198"/>
      <c r="E46" s="49">
        <f>IF('Production Data'!H41='Drop Box Names'!B40,E45/2000,E45/'Production Data'!H43)</f>
        <v>2.8395499999999996</v>
      </c>
      <c r="F46" s="49">
        <f>IF('Production Data'!H41='Drop Box Names'!B40,F45/2000,F45/'Production Data'!H43)</f>
        <v>2.5649999999999999</v>
      </c>
      <c r="G46" s="127"/>
      <c r="H46" s="211"/>
      <c r="I46" s="127"/>
      <c r="J46" s="127"/>
      <c r="L46" s="127"/>
      <c r="M46" s="127"/>
      <c r="N46" s="127"/>
      <c r="P46" s="127"/>
      <c r="S46" s="127"/>
      <c r="T46" s="127"/>
      <c r="U46" s="127"/>
    </row>
    <row r="47" spans="2:21" x14ac:dyDescent="0.2">
      <c r="C47" s="198"/>
      <c r="D47" s="198"/>
      <c r="E47" s="49"/>
      <c r="F47" s="49"/>
      <c r="G47" s="127"/>
      <c r="H47" s="211"/>
      <c r="I47" s="127"/>
      <c r="J47" s="127"/>
      <c r="L47" s="127"/>
      <c r="M47" s="127"/>
      <c r="N47" s="127"/>
      <c r="P47" s="127"/>
      <c r="S47" s="127"/>
      <c r="T47" s="127"/>
      <c r="U47" s="127"/>
    </row>
    <row r="48" spans="2:21" x14ac:dyDescent="0.2">
      <c r="C48" s="198"/>
      <c r="D48" s="198"/>
      <c r="E48" s="49"/>
      <c r="F48" s="49"/>
      <c r="G48" s="127"/>
      <c r="H48" s="211"/>
      <c r="I48" s="127"/>
      <c r="J48" s="127"/>
      <c r="L48" s="127"/>
      <c r="M48" s="127"/>
      <c r="N48" s="127"/>
      <c r="P48" s="127"/>
      <c r="S48" s="127"/>
      <c r="T48" s="127"/>
      <c r="U48" s="127"/>
    </row>
    <row r="49" spans="2:17" x14ac:dyDescent="0.2">
      <c r="C49" s="198"/>
      <c r="D49" s="198"/>
      <c r="E49" s="197"/>
      <c r="F49" s="127"/>
      <c r="H49" s="127"/>
      <c r="I49" s="127"/>
      <c r="J49" s="127"/>
      <c r="L49" s="127"/>
      <c r="O49" s="127"/>
      <c r="P49" s="127"/>
      <c r="Q49" s="127"/>
    </row>
    <row r="50" spans="2:17" ht="38.1" customHeight="1" x14ac:dyDescent="0.2">
      <c r="B50" s="447"/>
      <c r="C50" s="447"/>
      <c r="D50" s="447"/>
      <c r="E50" s="132" t="s">
        <v>345</v>
      </c>
      <c r="F50" s="135" t="s">
        <v>344</v>
      </c>
      <c r="G50" s="132" t="s">
        <v>405</v>
      </c>
      <c r="H50" s="132" t="s">
        <v>370</v>
      </c>
      <c r="I50" s="135" t="s">
        <v>368</v>
      </c>
      <c r="J50" s="135"/>
      <c r="K50" s="132" t="s">
        <v>369</v>
      </c>
      <c r="L50" s="135" t="s">
        <v>367</v>
      </c>
      <c r="O50" s="127"/>
      <c r="P50" s="127"/>
      <c r="Q50" s="127"/>
    </row>
    <row r="51" spans="2:17" x14ac:dyDescent="0.2">
      <c r="B51" s="438" t="s">
        <v>407</v>
      </c>
      <c r="C51" s="438"/>
      <c r="D51" s="438"/>
      <c r="E51" s="389"/>
      <c r="F51" s="390"/>
      <c r="G51" s="390"/>
      <c r="H51" s="390"/>
      <c r="I51" s="390"/>
      <c r="J51" s="390"/>
      <c r="K51" s="390"/>
      <c r="L51" s="391"/>
      <c r="O51" s="127"/>
      <c r="P51" s="127"/>
      <c r="Q51" s="127"/>
    </row>
    <row r="52" spans="2:17" x14ac:dyDescent="0.2">
      <c r="B52" s="100"/>
      <c r="C52" s="436" t="s">
        <v>330</v>
      </c>
      <c r="D52" s="436"/>
      <c r="E52" s="64">
        <f>E29</f>
        <v>57</v>
      </c>
      <c r="F52" s="73">
        <f>F11</f>
        <v>0.05</v>
      </c>
      <c r="G52" s="207">
        <f>IF(E23='Drop Box Names'!B61,G19,IF(E23='Drop Box Names'!B62,G21,G20))</f>
        <v>0.23333333333333334</v>
      </c>
      <c r="H52" s="64"/>
      <c r="I52" s="64">
        <f>E52*G52*365*(1-F52/2)</f>
        <v>4733.1374999999998</v>
      </c>
      <c r="J52" s="64"/>
      <c r="K52" s="64">
        <f>IF('Production Data'!$H$28='Drop Box Names'!$B$29,I52+($E$34/'Production Data'!$H$6),I52)</f>
        <v>5552.1374999999998</v>
      </c>
      <c r="L52" s="103">
        <f>K52/E52</f>
        <v>97.40592105263157</v>
      </c>
      <c r="O52" s="127"/>
      <c r="P52" s="127"/>
      <c r="Q52" s="127"/>
    </row>
    <row r="53" spans="2:17" x14ac:dyDescent="0.2">
      <c r="B53" s="100"/>
      <c r="C53" s="436" t="s">
        <v>326</v>
      </c>
      <c r="D53" s="436"/>
      <c r="E53" s="64">
        <f>E52*(1-F52/2)</f>
        <v>55.574999999999996</v>
      </c>
      <c r="F53" s="72">
        <f>IF('Production Data'!H64='Drop Box Names'!B32,'Production Data'!D121,'Production Data'!G121)</f>
        <v>7.4999999999999997E-2</v>
      </c>
      <c r="G53" s="207">
        <f>G52</f>
        <v>0.23333333333333334</v>
      </c>
      <c r="H53" s="64">
        <f>E53*G53*(365/2)*(1-F53/2)</f>
        <v>2277.8224218750001</v>
      </c>
      <c r="I53" s="64"/>
      <c r="J53" s="64">
        <f>(I52+H53)/1.5</f>
        <v>4673.9732812499997</v>
      </c>
      <c r="K53" s="64">
        <f>IF('Production Data'!$H$28='Drop Box Names'!$B$29,J53+($E$34/'Production Data'!$H$6),J53)</f>
        <v>5492.9732812499997</v>
      </c>
      <c r="L53" s="103">
        <f t="shared" ref="L53:L54" si="2">K53/E53</f>
        <v>98.83892543859649</v>
      </c>
      <c r="O53" s="127"/>
      <c r="P53" s="127"/>
      <c r="Q53" s="127"/>
    </row>
    <row r="54" spans="2:17" x14ac:dyDescent="0.2">
      <c r="B54" s="100"/>
      <c r="C54" s="436" t="s">
        <v>327</v>
      </c>
      <c r="D54" s="436"/>
      <c r="E54" s="64">
        <f>E52*(1-F52)</f>
        <v>54.15</v>
      </c>
      <c r="F54" s="72">
        <f>IF('Production Data'!H64='Drop Box Names'!B32,'Production Data'!D121,'Production Data'!G121)</f>
        <v>7.4999999999999997E-2</v>
      </c>
      <c r="G54" s="207">
        <f>G52</f>
        <v>0.23333333333333334</v>
      </c>
      <c r="H54" s="64"/>
      <c r="I54" s="64">
        <f>E54*G54*365*(1-F54/2)</f>
        <v>4438.8334374999995</v>
      </c>
      <c r="J54" s="64">
        <f>AVERAGE(I52,I54)</f>
        <v>4585.9854687499992</v>
      </c>
      <c r="K54" s="64">
        <f>IF('Production Data'!$H$28='Drop Box Names'!$B$29,J54+($E$34/'Production Data'!$H$6),J54)</f>
        <v>5404.9854687499992</v>
      </c>
      <c r="L54" s="103">
        <f t="shared" si="2"/>
        <v>99.815059441366557</v>
      </c>
      <c r="O54" s="127"/>
      <c r="P54" s="127"/>
      <c r="Q54" s="127"/>
    </row>
    <row r="55" spans="2:17" x14ac:dyDescent="0.2">
      <c r="B55" s="100"/>
      <c r="C55" s="436" t="s">
        <v>328</v>
      </c>
      <c r="D55" s="436"/>
      <c r="E55" s="64">
        <f>E54*(1-F54/2)</f>
        <v>52.119374999999998</v>
      </c>
      <c r="F55" s="72">
        <f>IF('Production Data'!H64='Drop Box Names'!B32,'Production Data'!E121,'Production Data'!H121)</f>
        <v>0.125</v>
      </c>
      <c r="G55" s="207">
        <f>G52</f>
        <v>0.23333333333333334</v>
      </c>
      <c r="H55" s="64">
        <f>E55*G55*(365/2)*(1-F55/2)</f>
        <v>2080.7031738281253</v>
      </c>
      <c r="I55" s="64"/>
      <c r="J55" s="64">
        <f>(I52+I54+H55)/2.5</f>
        <v>4501.0696445312497</v>
      </c>
      <c r="K55" s="64">
        <f>IF('Production Data'!$H$28='Drop Box Names'!$B$29,J55+($E$34/'Production Data'!$H$6),J55)</f>
        <v>5320.0696445312497</v>
      </c>
      <c r="L55" s="103">
        <f>K55/E55</f>
        <v>102.07470148157475</v>
      </c>
      <c r="O55" s="127"/>
      <c r="P55" s="127"/>
      <c r="Q55" s="127"/>
    </row>
    <row r="56" spans="2:17" x14ac:dyDescent="0.2">
      <c r="B56" s="100"/>
      <c r="C56" s="436" t="s">
        <v>329</v>
      </c>
      <c r="D56" s="436"/>
      <c r="E56" s="64">
        <f>E54*(1-F54)</f>
        <v>50.088750000000005</v>
      </c>
      <c r="F56" s="72">
        <f>IF('Production Data'!H64='Drop Box Names'!B32,'Production Data'!E121,'Production Data'!H121)</f>
        <v>0.125</v>
      </c>
      <c r="G56" s="207">
        <f>G52</f>
        <v>0.23333333333333334</v>
      </c>
      <c r="H56" s="100"/>
      <c r="I56" s="64">
        <f>E56*G56*365*(1-F56/2)</f>
        <v>3999.2736328125002</v>
      </c>
      <c r="J56" s="64">
        <f>AVERAGE(I52,I54,I56)</f>
        <v>4390.4148567708326</v>
      </c>
      <c r="K56" s="64">
        <f>IF('Production Data'!$H$28='Drop Box Names'!$B$29,J56+($E$34/'Production Data'!$H$6),J56)</f>
        <v>5209.4148567708326</v>
      </c>
      <c r="L56" s="103">
        <f>K56/E56</f>
        <v>104.00369058462893</v>
      </c>
      <c r="M56" s="127"/>
    </row>
    <row r="57" spans="2:17" x14ac:dyDescent="0.2">
      <c r="B57" s="438" t="s">
        <v>408</v>
      </c>
      <c r="C57" s="438"/>
      <c r="D57" s="438"/>
      <c r="E57" s="445"/>
      <c r="F57" s="446"/>
      <c r="G57" s="446"/>
      <c r="H57" s="446"/>
      <c r="I57" s="446"/>
      <c r="J57" s="446"/>
      <c r="K57" s="446"/>
      <c r="L57" s="446"/>
    </row>
    <row r="58" spans="2:17" x14ac:dyDescent="0.2">
      <c r="B58" s="100"/>
      <c r="C58" s="436" t="s">
        <v>330</v>
      </c>
      <c r="D58" s="436"/>
      <c r="E58" s="103">
        <f>E52</f>
        <v>57</v>
      </c>
      <c r="F58" s="184">
        <f>F52</f>
        <v>0.05</v>
      </c>
      <c r="G58" s="208">
        <f>'Production Data'!H50/365</f>
        <v>0.24657534246575341</v>
      </c>
      <c r="H58" s="100"/>
      <c r="I58" s="64">
        <f>E58*G58*365*(1-F58/2)</f>
        <v>5001.7499999999991</v>
      </c>
      <c r="J58" s="64"/>
      <c r="K58" s="64">
        <f>IF('Production Data'!$H$28='Drop Box Names'!$B$29,I58+($E$34/'Production Data'!$H$6),I58)</f>
        <v>5820.7499999999991</v>
      </c>
      <c r="L58" s="103">
        <f>K58/E58</f>
        <v>102.11842105263156</v>
      </c>
    </row>
    <row r="59" spans="2:17" x14ac:dyDescent="0.2">
      <c r="B59" s="100"/>
      <c r="C59" s="436" t="s">
        <v>326</v>
      </c>
      <c r="D59" s="436"/>
      <c r="E59" s="103">
        <f t="shared" ref="E59:F62" si="3">E53</f>
        <v>55.574999999999996</v>
      </c>
      <c r="F59" s="184">
        <f t="shared" si="3"/>
        <v>7.4999999999999997E-2</v>
      </c>
      <c r="G59" s="222">
        <f>'Production Data'!H50/365</f>
        <v>0.24657534246575341</v>
      </c>
      <c r="H59" s="64">
        <f>E59*G59*(365/2)*(1-F59/2)</f>
        <v>2407.0921874999995</v>
      </c>
      <c r="I59" s="64"/>
      <c r="J59" s="64">
        <f>(I58+H59)/1.5</f>
        <v>4939.2281249999987</v>
      </c>
      <c r="K59" s="64">
        <f>IF('Production Data'!$H$28='Drop Box Names'!$B$29,J59+($E$34/'Production Data'!$H$6),J59)</f>
        <v>5758.2281249999987</v>
      </c>
      <c r="L59" s="103">
        <f t="shared" ref="L59:L62" si="4">K59/E59</f>
        <v>103.61184210526314</v>
      </c>
    </row>
    <row r="60" spans="2:17" x14ac:dyDescent="0.2">
      <c r="B60" s="100"/>
      <c r="C60" s="436" t="s">
        <v>327</v>
      </c>
      <c r="D60" s="436"/>
      <c r="E60" s="103">
        <f t="shared" si="3"/>
        <v>54.15</v>
      </c>
      <c r="F60" s="184">
        <f t="shared" si="3"/>
        <v>7.4999999999999997E-2</v>
      </c>
      <c r="G60" s="207">
        <f>'Production Data'!H50/365</f>
        <v>0.24657534246575341</v>
      </c>
      <c r="H60" s="88"/>
      <c r="I60" s="64">
        <f>E60*G60*365*(1-F60/2)</f>
        <v>4690.7437499999996</v>
      </c>
      <c r="J60" s="64">
        <f>AVERAGE(I58,I60)</f>
        <v>4846.2468749999989</v>
      </c>
      <c r="K60" s="64">
        <f>IF('Production Data'!$H$28='Drop Box Names'!$B$29,J60+($E$34/'Production Data'!$H$6),J60)</f>
        <v>5665.2468749999989</v>
      </c>
      <c r="L60" s="103">
        <f t="shared" si="4"/>
        <v>104.62136426592797</v>
      </c>
    </row>
    <row r="61" spans="2:17" x14ac:dyDescent="0.2">
      <c r="B61" s="100"/>
      <c r="C61" s="436" t="s">
        <v>328</v>
      </c>
      <c r="D61" s="436"/>
      <c r="E61" s="103">
        <f t="shared" si="3"/>
        <v>52.119374999999998</v>
      </c>
      <c r="F61" s="184">
        <f t="shared" si="3"/>
        <v>0.125</v>
      </c>
      <c r="G61" s="207">
        <f>'Production Data'!H50/365</f>
        <v>0.24657534246575341</v>
      </c>
      <c r="H61" s="64">
        <f>E61*G61*(365/2)*(1-F61/2)</f>
        <v>2198.7861328125</v>
      </c>
      <c r="I61" s="64"/>
      <c r="J61" s="64">
        <f>(I58+I60+H61)/2.5</f>
        <v>4756.5119531249993</v>
      </c>
      <c r="K61" s="64">
        <f>IF('Production Data'!$H$28='Drop Box Names'!$B$29,J61+($E$34/'Production Data'!$H$6),J61)</f>
        <v>5575.5119531249993</v>
      </c>
      <c r="L61" s="103">
        <f t="shared" si="4"/>
        <v>106.97580224484656</v>
      </c>
    </row>
    <row r="62" spans="2:17" x14ac:dyDescent="0.2">
      <c r="B62" s="100"/>
      <c r="C62" s="436" t="s">
        <v>329</v>
      </c>
      <c r="D62" s="436"/>
      <c r="E62" s="103">
        <f t="shared" si="3"/>
        <v>50.088750000000005</v>
      </c>
      <c r="F62" s="184">
        <f t="shared" si="3"/>
        <v>0.125</v>
      </c>
      <c r="G62" s="207">
        <f>'Production Data'!H50/365</f>
        <v>0.24657534246575341</v>
      </c>
      <c r="H62" s="64"/>
      <c r="I62" s="64">
        <f t="shared" ref="I62" si="5">E62*G62*365*(1-F62/2)</f>
        <v>4226.23828125</v>
      </c>
      <c r="J62" s="64">
        <f>AVERAGE(I58,I60,I62)</f>
        <v>4639.5773437499993</v>
      </c>
      <c r="K62" s="64">
        <f>IF('Production Data'!$H$28='Drop Box Names'!$B$29,J62+($E$34/'Production Data'!$H$6),J62)</f>
        <v>5458.5773437499993</v>
      </c>
      <c r="L62" s="103">
        <f t="shared" si="4"/>
        <v>108.97811072845697</v>
      </c>
    </row>
    <row r="63" spans="2:17" x14ac:dyDescent="0.2">
      <c r="B63" s="438" t="s">
        <v>406</v>
      </c>
      <c r="C63" s="438"/>
      <c r="D63" s="438"/>
      <c r="E63" s="444"/>
      <c r="F63" s="444"/>
      <c r="G63" s="444"/>
      <c r="H63" s="444"/>
      <c r="I63" s="444"/>
      <c r="J63" s="444"/>
      <c r="K63" s="444"/>
      <c r="L63" s="444"/>
    </row>
    <row r="64" spans="2:17" x14ac:dyDescent="0.2">
      <c r="K64" s="199">
        <f>IF('Production Data'!$H$47='Drop Box Names'!$B$32,K52,K58)</f>
        <v>5552.1374999999998</v>
      </c>
      <c r="L64" s="199">
        <f>IF('Production Data'!$H$47='Drop Box Names'!$B$32,L52,L58)</f>
        <v>97.40592105263157</v>
      </c>
    </row>
    <row r="65" spans="3:13" x14ac:dyDescent="0.2">
      <c r="K65" s="199">
        <f>IF('Production Data'!$H$47='Drop Box Names'!$B$32,K53,K59)</f>
        <v>5492.9732812499997</v>
      </c>
      <c r="L65" s="199">
        <f>IF('Production Data'!$H$47='Drop Box Names'!$B$32,L53,L59)</f>
        <v>98.83892543859649</v>
      </c>
    </row>
    <row r="66" spans="3:13" x14ac:dyDescent="0.2">
      <c r="K66" s="199">
        <f>IF('Production Data'!$H$47='Drop Box Names'!$B$32,K54,K60)</f>
        <v>5404.9854687499992</v>
      </c>
      <c r="L66" s="199">
        <f>IF('Production Data'!$H$47='Drop Box Names'!$B$32,L54,L60)</f>
        <v>99.815059441366557</v>
      </c>
    </row>
    <row r="67" spans="3:13" x14ac:dyDescent="0.2">
      <c r="K67" s="199">
        <f>IF('Production Data'!$H$47='Drop Box Names'!$B$32,K55,K61)</f>
        <v>5320.0696445312497</v>
      </c>
      <c r="L67" s="199">
        <f>IF('Production Data'!$H$47='Drop Box Names'!$B$32,L55,L61)</f>
        <v>102.07470148157475</v>
      </c>
    </row>
    <row r="68" spans="3:13" x14ac:dyDescent="0.2">
      <c r="K68" s="199">
        <f>IF('Production Data'!$H$47='Drop Box Names'!$B$32,K56,K62)</f>
        <v>5209.4148567708326</v>
      </c>
      <c r="L68" s="199">
        <f>IF('Production Data'!$H$47='Drop Box Names'!$B$32,L56,L62)</f>
        <v>104.00369058462893</v>
      </c>
    </row>
    <row r="73" spans="3:13" ht="15" x14ac:dyDescent="0.25">
      <c r="C73" t="s">
        <v>250</v>
      </c>
      <c r="D73"/>
      <c r="E73" s="3" t="s">
        <v>261</v>
      </c>
      <c r="F73" s="3" t="s">
        <v>254</v>
      </c>
      <c r="G73" s="3" t="s">
        <v>260</v>
      </c>
      <c r="H73" s="3" t="s">
        <v>205</v>
      </c>
      <c r="I73" s="3">
        <v>20</v>
      </c>
      <c r="J73" s="3" t="s">
        <v>254</v>
      </c>
      <c r="K73" s="3">
        <f>5*52</f>
        <v>260</v>
      </c>
      <c r="L73"/>
      <c r="M73"/>
    </row>
    <row r="74" spans="3:13" ht="15" x14ac:dyDescent="0.25">
      <c r="C74" t="s">
        <v>249</v>
      </c>
      <c r="D74"/>
      <c r="E74" s="3" t="s">
        <v>263</v>
      </c>
      <c r="F74" s="3" t="s">
        <v>255</v>
      </c>
      <c r="G74" s="3" t="s">
        <v>256</v>
      </c>
      <c r="H74" s="3">
        <v>20</v>
      </c>
      <c r="I74" s="3" t="s">
        <v>260</v>
      </c>
      <c r="J74" s="3">
        <f>3*52</f>
        <v>156</v>
      </c>
      <c r="K74" s="3">
        <f>4*52</f>
        <v>208</v>
      </c>
      <c r="L74"/>
      <c r="M74" t="s">
        <v>264</v>
      </c>
    </row>
    <row r="75" spans="3:13" ht="15" x14ac:dyDescent="0.25">
      <c r="C75" t="s">
        <v>251</v>
      </c>
      <c r="D75"/>
      <c r="E75" s="3" t="s">
        <v>262</v>
      </c>
      <c r="F75" s="3" t="s">
        <v>255</v>
      </c>
      <c r="G75" s="3" t="s">
        <v>257</v>
      </c>
      <c r="H75" s="3" t="s">
        <v>259</v>
      </c>
      <c r="I75" s="3">
        <v>18</v>
      </c>
      <c r="J75" s="3" t="s">
        <v>257</v>
      </c>
      <c r="K75" s="3" t="s">
        <v>254</v>
      </c>
      <c r="L75"/>
      <c r="M75"/>
    </row>
    <row r="76" spans="3:13" ht="15" x14ac:dyDescent="0.25">
      <c r="C76" t="s">
        <v>252</v>
      </c>
      <c r="D76"/>
      <c r="E76" s="3" t="s">
        <v>262</v>
      </c>
      <c r="F76" s="3" t="s">
        <v>253</v>
      </c>
      <c r="G76" s="3" t="s">
        <v>205</v>
      </c>
      <c r="H76" s="3">
        <f>6*52</f>
        <v>312</v>
      </c>
      <c r="I76" s="3"/>
      <c r="J76" s="3"/>
      <c r="K76" s="3"/>
      <c r="L76"/>
      <c r="M76"/>
    </row>
    <row r="77" spans="3:13" ht="15" x14ac:dyDescent="0.25">
      <c r="C77" t="s">
        <v>79</v>
      </c>
      <c r="D77"/>
      <c r="E77" s="3" t="s">
        <v>262</v>
      </c>
      <c r="F77" s="3" t="s">
        <v>257</v>
      </c>
      <c r="G77" s="3" t="s">
        <v>258</v>
      </c>
      <c r="H77" s="3">
        <v>18</v>
      </c>
      <c r="I77" s="3"/>
      <c r="J77" s="3" t="s">
        <v>257</v>
      </c>
      <c r="K77" s="3" t="s">
        <v>254</v>
      </c>
      <c r="L77"/>
      <c r="M77"/>
    </row>
    <row r="78" spans="3:13" ht="15" x14ac:dyDescent="0.25">
      <c r="C78" t="s">
        <v>84</v>
      </c>
      <c r="D78"/>
      <c r="E78" s="3"/>
      <c r="F78" s="3"/>
      <c r="G78" s="3"/>
      <c r="H78" s="3"/>
      <c r="I78" s="3"/>
      <c r="J78" s="3"/>
      <c r="K78" s="3"/>
      <c r="L78"/>
      <c r="M78"/>
    </row>
  </sheetData>
  <mergeCells count="50">
    <mergeCell ref="C12:D12"/>
    <mergeCell ref="C6:D6"/>
    <mergeCell ref="H6:I6"/>
    <mergeCell ref="B2:J2"/>
    <mergeCell ref="B4:E4"/>
    <mergeCell ref="G4:J4"/>
    <mergeCell ref="C5:D5"/>
    <mergeCell ref="H5:I5"/>
    <mergeCell ref="C7:D7"/>
    <mergeCell ref="H7:I7"/>
    <mergeCell ref="B9:D9"/>
    <mergeCell ref="B10:D10"/>
    <mergeCell ref="C11:D11"/>
    <mergeCell ref="C20:D20"/>
    <mergeCell ref="C21:D21"/>
    <mergeCell ref="C23:D23"/>
    <mergeCell ref="E17:F17"/>
    <mergeCell ref="B18:D18"/>
    <mergeCell ref="E18:H18"/>
    <mergeCell ref="C13:D13"/>
    <mergeCell ref="C14:D14"/>
    <mergeCell ref="C15:D15"/>
    <mergeCell ref="B17:D17"/>
    <mergeCell ref="C19:D19"/>
    <mergeCell ref="E23:G23"/>
    <mergeCell ref="C53:D53"/>
    <mergeCell ref="C28:D28"/>
    <mergeCell ref="C29:D29"/>
    <mergeCell ref="C30:D30"/>
    <mergeCell ref="C31:D31"/>
    <mergeCell ref="C32:D32"/>
    <mergeCell ref="C33:D33"/>
    <mergeCell ref="C34:D34"/>
    <mergeCell ref="B50:D50"/>
    <mergeCell ref="B51:D51"/>
    <mergeCell ref="E51:L51"/>
    <mergeCell ref="C52:D52"/>
    <mergeCell ref="B27:D27"/>
    <mergeCell ref="E63:L63"/>
    <mergeCell ref="C54:D54"/>
    <mergeCell ref="C55:D55"/>
    <mergeCell ref="C56:D56"/>
    <mergeCell ref="B57:D57"/>
    <mergeCell ref="E57:L57"/>
    <mergeCell ref="C58:D58"/>
    <mergeCell ref="C59:D59"/>
    <mergeCell ref="C60:D60"/>
    <mergeCell ref="C61:D61"/>
    <mergeCell ref="C62:D62"/>
    <mergeCell ref="B63:D63"/>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B1:M74"/>
  <sheetViews>
    <sheetView topLeftCell="A27" workbookViewId="0">
      <selection activeCell="B75" sqref="B75"/>
    </sheetView>
  </sheetViews>
  <sheetFormatPr defaultRowHeight="12.75" x14ac:dyDescent="0.2"/>
  <cols>
    <col min="1" max="1" width="9.140625" style="43"/>
    <col min="2" max="2" width="33.85546875" style="43" customWidth="1"/>
    <col min="3" max="3" width="17.42578125" style="206" bestFit="1" customWidth="1"/>
    <col min="4" max="4" width="15.7109375" style="206" bestFit="1" customWidth="1"/>
    <col min="5" max="5" width="63.7109375" style="43" bestFit="1" customWidth="1"/>
    <col min="6" max="10" width="9.140625" style="43"/>
    <col min="11" max="11" width="10.42578125" style="43" customWidth="1"/>
    <col min="12" max="16384" width="9.140625" style="43"/>
  </cols>
  <sheetData>
    <row r="1" spans="2:13" ht="15" customHeight="1" x14ac:dyDescent="0.2"/>
    <row r="2" spans="2:13" ht="15" customHeight="1" x14ac:dyDescent="0.2">
      <c r="B2" s="95" t="s">
        <v>456</v>
      </c>
      <c r="C2" s="291" t="s">
        <v>457</v>
      </c>
      <c r="D2" s="291" t="s">
        <v>458</v>
      </c>
      <c r="E2" s="313" t="s">
        <v>459</v>
      </c>
    </row>
    <row r="3" spans="2:13" ht="15" customHeight="1" x14ac:dyDescent="0.2">
      <c r="B3" s="95"/>
      <c r="C3" s="291"/>
      <c r="D3" s="291"/>
      <c r="E3" s="313"/>
    </row>
    <row r="4" spans="2:13" ht="15" customHeight="1" x14ac:dyDescent="0.2">
      <c r="B4" s="314">
        <v>1</v>
      </c>
      <c r="C4" s="206" t="s">
        <v>460</v>
      </c>
      <c r="D4" s="206" t="s">
        <v>461</v>
      </c>
    </row>
    <row r="5" spans="2:13" ht="15" customHeight="1" x14ac:dyDescent="0.2">
      <c r="B5" s="314">
        <v>1.5</v>
      </c>
    </row>
    <row r="6" spans="2:13" ht="15" customHeight="1" x14ac:dyDescent="0.2">
      <c r="B6" s="314">
        <v>2</v>
      </c>
      <c r="K6" s="198"/>
      <c r="L6" s="206"/>
      <c r="M6" s="206"/>
    </row>
    <row r="7" spans="2:13" ht="15" customHeight="1" x14ac:dyDescent="0.2">
      <c r="B7" s="314">
        <v>2.5</v>
      </c>
      <c r="K7" s="198"/>
      <c r="L7" s="206"/>
      <c r="M7" s="206"/>
    </row>
    <row r="8" spans="2:13" ht="15" customHeight="1" x14ac:dyDescent="0.2">
      <c r="B8" s="314">
        <v>3</v>
      </c>
      <c r="K8" s="198"/>
      <c r="L8" s="206"/>
      <c r="M8" s="206"/>
    </row>
    <row r="9" spans="2:13" ht="15" customHeight="1" x14ac:dyDescent="0.2">
      <c r="B9" s="44"/>
      <c r="K9" s="198"/>
    </row>
    <row r="10" spans="2:13" ht="15" customHeight="1" x14ac:dyDescent="0.2">
      <c r="B10" s="44" t="s">
        <v>106</v>
      </c>
      <c r="C10" s="206" t="s">
        <v>462</v>
      </c>
      <c r="D10" s="206" t="s">
        <v>463</v>
      </c>
    </row>
    <row r="11" spans="2:13" ht="15" customHeight="1" x14ac:dyDescent="0.2">
      <c r="B11" s="44" t="s">
        <v>107</v>
      </c>
    </row>
    <row r="12" spans="2:13" ht="15" customHeight="1" x14ac:dyDescent="0.2">
      <c r="B12" s="44"/>
    </row>
    <row r="13" spans="2:13" x14ac:dyDescent="0.2">
      <c r="B13" s="43" t="s">
        <v>45</v>
      </c>
      <c r="C13" s="206" t="s">
        <v>460</v>
      </c>
      <c r="D13" s="206" t="s">
        <v>464</v>
      </c>
    </row>
    <row r="14" spans="2:13" x14ac:dyDescent="0.2">
      <c r="B14" s="43" t="s">
        <v>10</v>
      </c>
    </row>
    <row r="16" spans="2:13" x14ac:dyDescent="0.2">
      <c r="B16" s="198" t="s">
        <v>109</v>
      </c>
      <c r="E16" s="315" t="s">
        <v>299</v>
      </c>
    </row>
    <row r="17" spans="2:5" x14ac:dyDescent="0.2">
      <c r="B17" s="198" t="s">
        <v>95</v>
      </c>
      <c r="C17" s="206" t="s">
        <v>460</v>
      </c>
      <c r="D17" s="206" t="s">
        <v>465</v>
      </c>
      <c r="E17" s="315" t="s">
        <v>298</v>
      </c>
    </row>
    <row r="18" spans="2:5" x14ac:dyDescent="0.2">
      <c r="B18" s="198" t="str">
        <f>IF('Production Data'!H36='Drop Box Names'!B10,E18,"-")</f>
        <v>-</v>
      </c>
      <c r="E18" s="43" t="s">
        <v>94</v>
      </c>
    </row>
    <row r="19" spans="2:5" x14ac:dyDescent="0.2">
      <c r="B19" s="198" t="str">
        <f>IF('Production Data'!H36='Drop Box Names'!B10,E19,"-")</f>
        <v>-</v>
      </c>
      <c r="E19" s="43" t="s">
        <v>297</v>
      </c>
    </row>
    <row r="20" spans="2:5" ht="15" customHeight="1" x14ac:dyDescent="0.2">
      <c r="B20" s="44"/>
    </row>
    <row r="21" spans="2:5" ht="15" customHeight="1" x14ac:dyDescent="0.2">
      <c r="B21" s="43" t="s">
        <v>250</v>
      </c>
      <c r="C21" s="206" t="s">
        <v>460</v>
      </c>
      <c r="D21" s="206" t="s">
        <v>466</v>
      </c>
    </row>
    <row r="22" spans="2:5" ht="15" customHeight="1" x14ac:dyDescent="0.2">
      <c r="B22" s="43" t="s">
        <v>249</v>
      </c>
    </row>
    <row r="23" spans="2:5" ht="15" customHeight="1" x14ac:dyDescent="0.2">
      <c r="B23" s="43" t="s">
        <v>251</v>
      </c>
    </row>
    <row r="24" spans="2:5" ht="15" customHeight="1" x14ac:dyDescent="0.2">
      <c r="B24" s="43" t="s">
        <v>252</v>
      </c>
    </row>
    <row r="25" spans="2:5" ht="15" customHeight="1" x14ac:dyDescent="0.2">
      <c r="B25" s="43" t="s">
        <v>79</v>
      </c>
    </row>
    <row r="26" spans="2:5" ht="15" customHeight="1" x14ac:dyDescent="0.2">
      <c r="B26" s="43" t="s">
        <v>84</v>
      </c>
    </row>
    <row r="27" spans="2:5" ht="15" customHeight="1" x14ac:dyDescent="0.2">
      <c r="B27" s="315" t="s">
        <v>8</v>
      </c>
    </row>
    <row r="28" spans="2:5" x14ac:dyDescent="0.2">
      <c r="B28" s="44"/>
    </row>
    <row r="29" spans="2:5" x14ac:dyDescent="0.2">
      <c r="B29" s="43" t="s">
        <v>44</v>
      </c>
      <c r="C29" s="206" t="s">
        <v>460</v>
      </c>
      <c r="D29" s="206" t="s">
        <v>467</v>
      </c>
    </row>
    <row r="30" spans="2:5" x14ac:dyDescent="0.2">
      <c r="B30" s="43" t="s">
        <v>17</v>
      </c>
    </row>
    <row r="32" spans="2:5" x14ac:dyDescent="0.2">
      <c r="B32" s="43" t="s">
        <v>433</v>
      </c>
      <c r="C32" s="206" t="s">
        <v>460</v>
      </c>
      <c r="D32" s="206" t="s">
        <v>468</v>
      </c>
    </row>
    <row r="33" spans="2:4" x14ac:dyDescent="0.2">
      <c r="B33" s="198" t="s">
        <v>130</v>
      </c>
      <c r="C33" s="206" t="s">
        <v>460</v>
      </c>
      <c r="D33" s="206" t="s">
        <v>469</v>
      </c>
    </row>
    <row r="34" spans="2:4" x14ac:dyDescent="0.2">
      <c r="B34" s="44"/>
      <c r="C34" s="206" t="s">
        <v>460</v>
      </c>
      <c r="D34" s="206" t="s">
        <v>470</v>
      </c>
    </row>
    <row r="35" spans="2:4" x14ac:dyDescent="0.2">
      <c r="B35" s="44"/>
    </row>
    <row r="36" spans="2:4" x14ac:dyDescent="0.2">
      <c r="B36" s="44" t="s">
        <v>1</v>
      </c>
      <c r="C36" s="206" t="s">
        <v>460</v>
      </c>
      <c r="D36" s="206" t="s">
        <v>471</v>
      </c>
    </row>
    <row r="37" spans="2:4" x14ac:dyDescent="0.2">
      <c r="B37" s="44" t="s">
        <v>69</v>
      </c>
    </row>
    <row r="38" spans="2:4" x14ac:dyDescent="0.2">
      <c r="B38" s="44" t="s">
        <v>70</v>
      </c>
    </row>
    <row r="39" spans="2:4" x14ac:dyDescent="0.2">
      <c r="B39" s="44"/>
    </row>
    <row r="40" spans="2:4" x14ac:dyDescent="0.2">
      <c r="B40" s="44" t="s">
        <v>132</v>
      </c>
      <c r="C40" s="206" t="s">
        <v>460</v>
      </c>
      <c r="D40" s="206" t="s">
        <v>472</v>
      </c>
    </row>
    <row r="41" spans="2:4" x14ac:dyDescent="0.2">
      <c r="B41" s="44" t="s">
        <v>81</v>
      </c>
    </row>
    <row r="42" spans="2:4" ht="15" customHeight="1" x14ac:dyDescent="0.2">
      <c r="B42" s="44"/>
    </row>
    <row r="43" spans="2:4" ht="15" customHeight="1" x14ac:dyDescent="0.2">
      <c r="B43" s="44" t="s">
        <v>0</v>
      </c>
      <c r="C43" s="206" t="s">
        <v>460</v>
      </c>
      <c r="D43" s="206" t="s">
        <v>474</v>
      </c>
    </row>
    <row r="44" spans="2:4" ht="15" customHeight="1" x14ac:dyDescent="0.2">
      <c r="B44" s="44" t="s">
        <v>80</v>
      </c>
      <c r="C44" s="206" t="s">
        <v>428</v>
      </c>
      <c r="D44" s="206" t="s">
        <v>476</v>
      </c>
    </row>
    <row r="45" spans="2:4" x14ac:dyDescent="0.2">
      <c r="B45" s="44"/>
    </row>
    <row r="46" spans="2:4" x14ac:dyDescent="0.2">
      <c r="B46" s="44" t="s">
        <v>123</v>
      </c>
      <c r="C46" s="206" t="s">
        <v>460</v>
      </c>
      <c r="D46" s="206" t="s">
        <v>473</v>
      </c>
    </row>
    <row r="47" spans="2:4" x14ac:dyDescent="0.2">
      <c r="B47" s="44" t="s">
        <v>353</v>
      </c>
    </row>
    <row r="48" spans="2:4" x14ac:dyDescent="0.2">
      <c r="B48" s="44" t="s">
        <v>124</v>
      </c>
    </row>
    <row r="49" spans="2:5" x14ac:dyDescent="0.2">
      <c r="B49" s="44" t="s">
        <v>354</v>
      </c>
    </row>
    <row r="51" spans="2:5" x14ac:dyDescent="0.2">
      <c r="B51" s="43" t="s">
        <v>236</v>
      </c>
      <c r="C51" s="206" t="s">
        <v>428</v>
      </c>
      <c r="D51" s="206" t="s">
        <v>475</v>
      </c>
    </row>
    <row r="52" spans="2:5" x14ac:dyDescent="0.2">
      <c r="B52" s="43" t="s">
        <v>237</v>
      </c>
      <c r="C52" s="206" t="s">
        <v>428</v>
      </c>
      <c r="D52" s="206" t="s">
        <v>461</v>
      </c>
    </row>
    <row r="54" spans="2:5" x14ac:dyDescent="0.2">
      <c r="B54" s="43" t="s">
        <v>289</v>
      </c>
      <c r="C54" s="206" t="s">
        <v>460</v>
      </c>
      <c r="D54" s="206" t="s">
        <v>480</v>
      </c>
    </row>
    <row r="55" spans="2:5" x14ac:dyDescent="0.2">
      <c r="B55" s="43" t="s">
        <v>290</v>
      </c>
    </row>
    <row r="58" spans="2:5" x14ac:dyDescent="0.2">
      <c r="B58" s="44" t="s">
        <v>72</v>
      </c>
      <c r="C58" s="206" t="s">
        <v>460</v>
      </c>
      <c r="D58" s="206" t="s">
        <v>479</v>
      </c>
      <c r="E58" s="43" t="s">
        <v>481</v>
      </c>
    </row>
    <row r="59" spans="2:5" x14ac:dyDescent="0.2">
      <c r="B59" s="44" t="s">
        <v>271</v>
      </c>
    </row>
    <row r="61" spans="2:5" x14ac:dyDescent="0.2">
      <c r="B61" s="43" t="s">
        <v>376</v>
      </c>
    </row>
    <row r="62" spans="2:5" x14ac:dyDescent="0.2">
      <c r="B62" s="43" t="s">
        <v>379</v>
      </c>
    </row>
    <row r="63" spans="2:5" x14ac:dyDescent="0.2">
      <c r="B63" s="43" t="s">
        <v>380</v>
      </c>
    </row>
    <row r="65" spans="2:3" x14ac:dyDescent="0.2">
      <c r="B65" s="43" t="s">
        <v>359</v>
      </c>
      <c r="C65" s="206" t="s">
        <v>428</v>
      </c>
    </row>
    <row r="66" spans="2:3" x14ac:dyDescent="0.2">
      <c r="B66" s="43">
        <v>50</v>
      </c>
    </row>
    <row r="68" spans="2:3" x14ac:dyDescent="0.2">
      <c r="B68" s="43" t="s">
        <v>516</v>
      </c>
    </row>
    <row r="69" spans="2:3" x14ac:dyDescent="0.2">
      <c r="B69" s="43" t="s">
        <v>517</v>
      </c>
    </row>
    <row r="72" spans="2:3" x14ac:dyDescent="0.2">
      <c r="B72" s="43" t="s">
        <v>561</v>
      </c>
    </row>
    <row r="73" spans="2:3" x14ac:dyDescent="0.2">
      <c r="B73" s="43" t="str">
        <f>IF('Production Data'!H4='Drop Box Names'!B29,"Enter Total Cost per Chick","Enter Total Cost per Pullet")</f>
        <v>Enter Total Cost per Pullet</v>
      </c>
    </row>
    <row r="74" spans="2:3" x14ac:dyDescent="0.2">
      <c r="B74" s="43" t="s">
        <v>564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2:D17"/>
  <sheetViews>
    <sheetView workbookViewId="0">
      <selection activeCell="B8" sqref="B8"/>
    </sheetView>
  </sheetViews>
  <sheetFormatPr defaultRowHeight="15" x14ac:dyDescent="0.25"/>
  <sheetData>
    <row r="2" spans="2:2" x14ac:dyDescent="0.25">
      <c r="B2" t="s">
        <v>133</v>
      </c>
    </row>
    <row r="3" spans="2:2" x14ac:dyDescent="0.25">
      <c r="B3" t="s">
        <v>134</v>
      </c>
    </row>
    <row r="4" spans="2:2" x14ac:dyDescent="0.25">
      <c r="B4" t="s">
        <v>135</v>
      </c>
    </row>
    <row r="5" spans="2:2" x14ac:dyDescent="0.25">
      <c r="B5" t="s">
        <v>136</v>
      </c>
    </row>
    <row r="6" spans="2:2" x14ac:dyDescent="0.25">
      <c r="B6" t="s">
        <v>140</v>
      </c>
    </row>
    <row r="8" spans="2:2" x14ac:dyDescent="0.25">
      <c r="B8" t="s">
        <v>137</v>
      </c>
    </row>
    <row r="9" spans="2:2" x14ac:dyDescent="0.25">
      <c r="B9" t="s">
        <v>141</v>
      </c>
    </row>
    <row r="11" spans="2:2" x14ac:dyDescent="0.25">
      <c r="B11" t="s">
        <v>138</v>
      </c>
    </row>
    <row r="12" spans="2:2" x14ac:dyDescent="0.25">
      <c r="B12" t="s">
        <v>139</v>
      </c>
    </row>
    <row r="15" spans="2:2" x14ac:dyDescent="0.25">
      <c r="B15" t="s">
        <v>151</v>
      </c>
    </row>
    <row r="16" spans="2:2" x14ac:dyDescent="0.25">
      <c r="B16" t="s">
        <v>152</v>
      </c>
    </row>
    <row r="17" spans="4:4" x14ac:dyDescent="0.25">
      <c r="D17" t="s">
        <v>153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2:B21"/>
  <sheetViews>
    <sheetView workbookViewId="0">
      <selection activeCell="B10" sqref="B10"/>
    </sheetView>
  </sheetViews>
  <sheetFormatPr defaultRowHeight="15" x14ac:dyDescent="0.25"/>
  <sheetData>
    <row r="2" spans="2:2" x14ac:dyDescent="0.25">
      <c r="B2" s="2" t="s">
        <v>122</v>
      </c>
    </row>
    <row r="4" spans="2:2" x14ac:dyDescent="0.25">
      <c r="B4" t="s">
        <v>154</v>
      </c>
    </row>
    <row r="5" spans="2:2" x14ac:dyDescent="0.25">
      <c r="B5" t="s">
        <v>129</v>
      </c>
    </row>
    <row r="8" spans="2:2" x14ac:dyDescent="0.25">
      <c r="B8" s="2" t="s">
        <v>126</v>
      </c>
    </row>
    <row r="10" spans="2:2" x14ac:dyDescent="0.25">
      <c r="B10" t="s">
        <v>127</v>
      </c>
    </row>
    <row r="11" spans="2:2" x14ac:dyDescent="0.25">
      <c r="B11" t="s">
        <v>128</v>
      </c>
    </row>
    <row r="13" spans="2:2" x14ac:dyDescent="0.25">
      <c r="B13" t="s">
        <v>232</v>
      </c>
    </row>
    <row r="15" spans="2:2" x14ac:dyDescent="0.25">
      <c r="B15" s="2" t="s">
        <v>142</v>
      </c>
    </row>
    <row r="17" spans="2:2" x14ac:dyDescent="0.25">
      <c r="B17" t="s">
        <v>117</v>
      </c>
    </row>
    <row r="18" spans="2:2" x14ac:dyDescent="0.25">
      <c r="B18" t="s">
        <v>118</v>
      </c>
    </row>
    <row r="19" spans="2:2" x14ac:dyDescent="0.25">
      <c r="B19" t="s">
        <v>119</v>
      </c>
    </row>
    <row r="20" spans="2:2" x14ac:dyDescent="0.25">
      <c r="B20" t="s">
        <v>120</v>
      </c>
    </row>
    <row r="21" spans="2:2" x14ac:dyDescent="0.25">
      <c r="B21" t="s">
        <v>121</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Production Data</vt:lpstr>
      <vt:lpstr>Depreciable Items</vt:lpstr>
      <vt:lpstr>Summary</vt:lpstr>
      <vt:lpstr>Egg Production, Feed Intake</vt:lpstr>
      <vt:lpstr>NEW</vt:lpstr>
      <vt:lpstr>Drop Box Names</vt:lpstr>
      <vt:lpstr>Production Q's</vt:lpstr>
      <vt:lpstr>Formatting</vt:lpstr>
      <vt:lpstr>Feed Intake</vt:lpstr>
      <vt:lpstr>Feed Intake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Kindred</dc:creator>
  <cp:lastModifiedBy>Atherton, Nicole C.</cp:lastModifiedBy>
  <cp:lastPrinted>2017-04-13T14:49:18Z</cp:lastPrinted>
  <dcterms:created xsi:type="dcterms:W3CDTF">2014-08-19T16:10:36Z</dcterms:created>
  <dcterms:modified xsi:type="dcterms:W3CDTF">2024-06-12T17:44:56Z</dcterms:modified>
</cp:coreProperties>
</file>