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ather\Desktop\"/>
    </mc:Choice>
  </mc:AlternateContent>
  <workbookProtection workbookAlgorithmName="SHA-512" workbookHashValue="hq5kzew9cCeLNBGG9GpczLujck4pbeLVMSlTWeW6LYn3C9SioKtf61Odnyht9N9wJ7zhYSJpPXqrtJ3iUjOyTg==" workbookSaltValue="tI7GftsA8npo5K1Br93TzA==" workbookSpinCount="100000" lockStructure="1"/>
  <bookViews>
    <workbookView xWindow="0" yWindow="0" windowWidth="20490" windowHeight="7620" tabRatio="854" activeTab="3"/>
  </bookViews>
  <sheets>
    <sheet name="Cover" sheetId="14" r:id="rId1"/>
    <sheet name="Instructions" sheetId="15" r:id="rId2"/>
    <sheet name="Machinery Calculations" sheetId="13" r:id="rId3"/>
    <sheet name="Sorghum-Corn" sheetId="7" r:id="rId4"/>
    <sheet name="Mach(CornNoTill)" sheetId="4" state="hidden" r:id="rId5"/>
    <sheet name="Sorghum" sheetId="16" state="hidden" r:id="rId6"/>
    <sheet name="Mach(Sorg)" sheetId="17" state="hidden" r:id="rId7"/>
    <sheet name="No-Till Soybeans" sheetId="18" state="hidden" r:id="rId8"/>
    <sheet name="Machinery Soybeans" sheetId="19" state="hidden" r:id="rId9"/>
    <sheet name="Notes-Questions" sheetId="6" state="hidden" r:id="rId10"/>
    <sheet name="Notes" sheetId="20" state="hidden" r:id="rId11"/>
  </sheets>
  <calcPr calcId="162913"/>
</workbook>
</file>

<file path=xl/calcChain.xml><?xml version="1.0" encoding="utf-8"?>
<calcChain xmlns="http://schemas.openxmlformats.org/spreadsheetml/2006/main">
  <c r="P14" i="7" l="1"/>
  <c r="P58" i="17"/>
  <c r="O16" i="7"/>
  <c r="O15" i="7" s="1"/>
  <c r="O14" i="7" s="1"/>
  <c r="L26" i="7"/>
  <c r="O17" i="7" l="1"/>
  <c r="O18" i="7" s="1"/>
  <c r="L39" i="7"/>
  <c r="M39" i="7" s="1"/>
  <c r="L38" i="7"/>
  <c r="M38" i="7" s="1"/>
  <c r="B8" i="17"/>
  <c r="B8" i="4"/>
  <c r="L15" i="7"/>
  <c r="L14" i="7"/>
  <c r="L13" i="7"/>
  <c r="M13" i="7" s="1"/>
  <c r="L8" i="7"/>
  <c r="M8" i="7" s="1"/>
  <c r="D5" i="16"/>
  <c r="L17" i="7"/>
  <c r="J17" i="7"/>
  <c r="J15" i="7"/>
  <c r="J14" i="7"/>
  <c r="M7" i="7"/>
  <c r="M6" i="7"/>
  <c r="L28" i="7"/>
  <c r="M29" i="7"/>
  <c r="L30" i="7"/>
  <c r="M26" i="7"/>
  <c r="M28" i="7"/>
  <c r="M27" i="7"/>
  <c r="M25" i="7"/>
  <c r="M24" i="7"/>
  <c r="M18" i="7"/>
  <c r="M12" i="7"/>
  <c r="I7" i="16"/>
  <c r="I6" i="16"/>
  <c r="I8" i="7"/>
  <c r="I7" i="7"/>
  <c r="M14" i="7" l="1"/>
  <c r="M15" i="7"/>
  <c r="M17" i="7"/>
  <c r="M16" i="7"/>
  <c r="M9" i="7"/>
  <c r="O14" i="4" l="1"/>
  <c r="O19" i="4" s="1"/>
  <c r="B3" i="4"/>
  <c r="H50" i="4" s="1"/>
  <c r="O15" i="4"/>
  <c r="P14" i="4"/>
  <c r="P19" i="4" s="1"/>
  <c r="B4" i="4"/>
  <c r="J41" i="4" s="1"/>
  <c r="B7" i="4"/>
  <c r="P15" i="4"/>
  <c r="Q14" i="4"/>
  <c r="Q20" i="4" s="1"/>
  <c r="B6" i="4"/>
  <c r="Q15" i="4"/>
  <c r="R14" i="4"/>
  <c r="R19" i="4" s="1"/>
  <c r="R15" i="4"/>
  <c r="S14" i="4"/>
  <c r="S19" i="4" s="1"/>
  <c r="S15" i="4"/>
  <c r="T14" i="4"/>
  <c r="T19" i="4" s="1"/>
  <c r="B8" i="19"/>
  <c r="G55" i="19" s="1"/>
  <c r="B4" i="19"/>
  <c r="J73" i="19" s="1"/>
  <c r="G42" i="17"/>
  <c r="B4" i="17"/>
  <c r="O14" i="17"/>
  <c r="B3" i="17"/>
  <c r="O15" i="17"/>
  <c r="R14" i="17"/>
  <c r="R15" i="17"/>
  <c r="S14" i="17"/>
  <c r="S15" i="17"/>
  <c r="B7" i="17"/>
  <c r="B6" i="17"/>
  <c r="T14" i="17"/>
  <c r="P14" i="17"/>
  <c r="P15" i="17"/>
  <c r="Q14" i="17"/>
  <c r="Q15" i="17"/>
  <c r="B3" i="19"/>
  <c r="H58" i="19" s="1"/>
  <c r="J74" i="19"/>
  <c r="J68" i="19"/>
  <c r="J64" i="19"/>
  <c r="J58" i="19"/>
  <c r="J49" i="19"/>
  <c r="J43" i="19"/>
  <c r="J37" i="19"/>
  <c r="H36" i="19"/>
  <c r="J34" i="19"/>
  <c r="H28" i="19"/>
  <c r="J28" i="19"/>
  <c r="J24" i="19"/>
  <c r="B7" i="19"/>
  <c r="B6" i="19"/>
  <c r="O14" i="19"/>
  <c r="O26" i="19" s="1"/>
  <c r="O15" i="19"/>
  <c r="O69" i="19"/>
  <c r="P14" i="19"/>
  <c r="P19" i="19" s="1"/>
  <c r="P25" i="19"/>
  <c r="P27" i="19"/>
  <c r="P34" i="19"/>
  <c r="P35" i="19"/>
  <c r="P40" i="19"/>
  <c r="P41" i="19"/>
  <c r="P15" i="19"/>
  <c r="P44" i="19"/>
  <c r="P45" i="19"/>
  <c r="P53" i="19"/>
  <c r="P54" i="19"/>
  <c r="P60" i="19"/>
  <c r="P64" i="19"/>
  <c r="P67" i="19"/>
  <c r="P68" i="19"/>
  <c r="P74" i="19"/>
  <c r="P77" i="19"/>
  <c r="Q14" i="19"/>
  <c r="Q19" i="19" s="1"/>
  <c r="Q15" i="19"/>
  <c r="R14" i="19"/>
  <c r="R22" i="19" s="1"/>
  <c r="R24" i="19"/>
  <c r="R26" i="19"/>
  <c r="R33" i="19"/>
  <c r="R34" i="19"/>
  <c r="R40" i="19"/>
  <c r="R41" i="19"/>
  <c r="R15" i="19"/>
  <c r="R45" i="19"/>
  <c r="R48" i="19"/>
  <c r="R59" i="19"/>
  <c r="R60" i="19"/>
  <c r="R67" i="19"/>
  <c r="R68" i="19"/>
  <c r="R78" i="19"/>
  <c r="S14" i="19"/>
  <c r="S31" i="19" s="1"/>
  <c r="S15" i="19"/>
  <c r="T14" i="19"/>
  <c r="T20" i="19" s="1"/>
  <c r="T25" i="19"/>
  <c r="T27" i="19"/>
  <c r="T37" i="19"/>
  <c r="T43" i="19"/>
  <c r="T44" i="19"/>
  <c r="T54" i="19"/>
  <c r="T60" i="19"/>
  <c r="T63" i="19"/>
  <c r="T68" i="19"/>
  <c r="T74" i="19"/>
  <c r="T78" i="19"/>
  <c r="I23" i="18"/>
  <c r="I22" i="18"/>
  <c r="B5" i="19"/>
  <c r="I33" i="18" s="1"/>
  <c r="I10" i="18"/>
  <c r="I11" i="18"/>
  <c r="I12" i="18"/>
  <c r="I13" i="18"/>
  <c r="I14" i="18"/>
  <c r="I15" i="18"/>
  <c r="I16" i="18"/>
  <c r="I17" i="18"/>
  <c r="I24" i="18"/>
  <c r="I25" i="18"/>
  <c r="I26" i="18"/>
  <c r="I35" i="18"/>
  <c r="I36" i="18"/>
  <c r="I5" i="18"/>
  <c r="I7" i="18"/>
  <c r="I6" i="18"/>
  <c r="I11" i="16"/>
  <c r="I25" i="16"/>
  <c r="I24" i="16"/>
  <c r="B5" i="17"/>
  <c r="I27" i="16"/>
  <c r="I28" i="16"/>
  <c r="I12" i="16"/>
  <c r="I13" i="16"/>
  <c r="I14" i="16"/>
  <c r="I15" i="16"/>
  <c r="I16" i="16"/>
  <c r="I17" i="16"/>
  <c r="I18" i="16"/>
  <c r="I19" i="16"/>
  <c r="I26" i="16"/>
  <c r="I29" i="16"/>
  <c r="I38" i="16"/>
  <c r="I39" i="16"/>
  <c r="B5" i="4"/>
  <c r="I36" i="7" s="1"/>
  <c r="I25" i="7"/>
  <c r="T57" i="4" s="1"/>
  <c r="I24" i="7"/>
  <c r="I38" i="7"/>
  <c r="I39" i="7"/>
  <c r="I12" i="7"/>
  <c r="I13" i="7"/>
  <c r="I14" i="7"/>
  <c r="I15" i="7"/>
  <c r="I16" i="7"/>
  <c r="I17" i="7"/>
  <c r="I18" i="7"/>
  <c r="I26" i="7"/>
  <c r="I27" i="7"/>
  <c r="I28" i="7"/>
  <c r="I29" i="7"/>
  <c r="I6" i="7"/>
  <c r="I9" i="7" s="1"/>
  <c r="I5" i="16"/>
  <c r="I8" i="16" s="1"/>
  <c r="B39" i="18"/>
  <c r="B40" i="18"/>
  <c r="B41" i="18"/>
  <c r="T15" i="19"/>
  <c r="T80" i="19"/>
  <c r="B42" i="16"/>
  <c r="B43" i="16"/>
  <c r="B44" i="16"/>
  <c r="T15" i="17"/>
  <c r="T57" i="17"/>
  <c r="T15" i="4"/>
  <c r="H60" i="19"/>
  <c r="H74" i="19"/>
  <c r="H22" i="19"/>
  <c r="H44" i="19"/>
  <c r="Q21" i="19"/>
  <c r="Q42" i="19"/>
  <c r="Q66" i="19"/>
  <c r="Q35" i="19"/>
  <c r="Q73" i="19"/>
  <c r="Q43" i="19"/>
  <c r="S28" i="19"/>
  <c r="Q53" i="19"/>
  <c r="Q40" i="19"/>
  <c r="O19" i="19"/>
  <c r="O24" i="19"/>
  <c r="O28" i="19"/>
  <c r="O35" i="19"/>
  <c r="O41" i="19"/>
  <c r="O44" i="19"/>
  <c r="O58" i="19"/>
  <c r="O64" i="19"/>
  <c r="O68" i="19"/>
  <c r="O74" i="19"/>
  <c r="O21" i="19"/>
  <c r="O27" i="19"/>
  <c r="O36" i="19"/>
  <c r="O49" i="19"/>
  <c r="O59" i="19"/>
  <c r="O66" i="19"/>
  <c r="O73" i="19"/>
  <c r="O22" i="19"/>
  <c r="O31" i="19"/>
  <c r="O37" i="19"/>
  <c r="O43" i="19"/>
  <c r="O53" i="19"/>
  <c r="O60" i="19"/>
  <c r="O67" i="19"/>
  <c r="O77" i="19"/>
  <c r="H78" i="19"/>
  <c r="H67" i="19"/>
  <c r="H63" i="19"/>
  <c r="O63" i="19" s="1"/>
  <c r="H21" i="19"/>
  <c r="T19" i="19"/>
  <c r="T24" i="19"/>
  <c r="T28" i="19"/>
  <c r="T35" i="19"/>
  <c r="T41" i="19"/>
  <c r="T45" i="19"/>
  <c r="T53" i="19"/>
  <c r="T59" i="19"/>
  <c r="T65" i="19"/>
  <c r="T69" i="19"/>
  <c r="T77" i="19"/>
  <c r="R20" i="19"/>
  <c r="R25" i="19"/>
  <c r="R31" i="19"/>
  <c r="R36" i="19"/>
  <c r="R43" i="19"/>
  <c r="R49" i="19"/>
  <c r="R53" i="19"/>
  <c r="R65" i="19"/>
  <c r="R69" i="19"/>
  <c r="R73" i="19"/>
  <c r="H20" i="19"/>
  <c r="O55" i="4"/>
  <c r="O40" i="4"/>
  <c r="O32" i="4"/>
  <c r="O26" i="4"/>
  <c r="O21" i="4"/>
  <c r="O20" i="4"/>
  <c r="Q27" i="4" l="1"/>
  <c r="S27" i="19"/>
  <c r="R77" i="19"/>
  <c r="R66" i="19"/>
  <c r="R58" i="19"/>
  <c r="R44" i="19"/>
  <c r="R37" i="19"/>
  <c r="R28" i="19"/>
  <c r="R21" i="19"/>
  <c r="P73" i="19"/>
  <c r="P66" i="19"/>
  <c r="P59" i="19"/>
  <c r="P49" i="19"/>
  <c r="P43" i="19"/>
  <c r="P37" i="19"/>
  <c r="P33" i="19"/>
  <c r="P22" i="19"/>
  <c r="O45" i="19"/>
  <c r="S41" i="19"/>
  <c r="S21" i="19"/>
  <c r="T67" i="19"/>
  <c r="T52" i="19"/>
  <c r="T36" i="19"/>
  <c r="R74" i="19"/>
  <c r="R64" i="19"/>
  <c r="R54" i="19"/>
  <c r="R35" i="19"/>
  <c r="R27" i="19"/>
  <c r="R19" i="19"/>
  <c r="P78" i="19"/>
  <c r="P69" i="19"/>
  <c r="P65" i="19"/>
  <c r="P58" i="19"/>
  <c r="P48" i="19"/>
  <c r="P36" i="19"/>
  <c r="P31" i="19"/>
  <c r="P20" i="19"/>
  <c r="Q45" i="19"/>
  <c r="S64" i="19"/>
  <c r="Q68" i="19"/>
  <c r="S22" i="19"/>
  <c r="S20" i="19"/>
  <c r="Q74" i="19"/>
  <c r="Q36" i="19"/>
  <c r="Q65" i="19"/>
  <c r="Q27" i="19"/>
  <c r="Q60" i="19"/>
  <c r="Q37" i="19"/>
  <c r="T73" i="19"/>
  <c r="T66" i="19"/>
  <c r="T58" i="19"/>
  <c r="T49" i="19"/>
  <c r="T42" i="19"/>
  <c r="T33" i="19"/>
  <c r="T22" i="19"/>
  <c r="S44" i="19"/>
  <c r="Q72" i="19"/>
  <c r="S65" i="19"/>
  <c r="Q44" i="19"/>
  <c r="Q21" i="4"/>
  <c r="Q64" i="19"/>
  <c r="Q25" i="19"/>
  <c r="S74" i="19"/>
  <c r="S60" i="19"/>
  <c r="S45" i="19"/>
  <c r="Q67" i="19"/>
  <c r="Q28" i="19"/>
  <c r="Q58" i="19"/>
  <c r="Q20" i="19"/>
  <c r="Q54" i="19"/>
  <c r="Q33" i="19"/>
  <c r="T72" i="19"/>
  <c r="T64" i="19"/>
  <c r="T55" i="19"/>
  <c r="T48" i="19"/>
  <c r="T40" i="19"/>
  <c r="T31" i="19"/>
  <c r="T21" i="19"/>
  <c r="Q77" i="19"/>
  <c r="Q34" i="19"/>
  <c r="O33" i="19"/>
  <c r="Q24" i="19"/>
  <c r="S25" i="19"/>
  <c r="Q41" i="19"/>
  <c r="S68" i="19"/>
  <c r="S54" i="19"/>
  <c r="S37" i="19"/>
  <c r="Q59" i="19"/>
  <c r="Q22" i="19"/>
  <c r="Q49" i="19"/>
  <c r="Q78" i="19"/>
  <c r="Q48" i="19"/>
  <c r="Q26" i="19"/>
  <c r="S34" i="19"/>
  <c r="Q69" i="19"/>
  <c r="Q31" i="19"/>
  <c r="Q52" i="19"/>
  <c r="H66" i="19"/>
  <c r="H43" i="19"/>
  <c r="F43" i="19" s="1"/>
  <c r="K43" i="19" s="1"/>
  <c r="H77" i="19"/>
  <c r="F77" i="19" s="1"/>
  <c r="K77" i="19" s="1"/>
  <c r="L77" i="19" s="1"/>
  <c r="F74" i="19"/>
  <c r="K74" i="19" s="1"/>
  <c r="H42" i="19"/>
  <c r="H33" i="19"/>
  <c r="H73" i="19"/>
  <c r="F73" i="19" s="1"/>
  <c r="K73" i="19" s="1"/>
  <c r="L73" i="19" s="1"/>
  <c r="M73" i="19" s="1"/>
  <c r="H27" i="19"/>
  <c r="H69" i="19"/>
  <c r="P72" i="19"/>
  <c r="J20" i="19"/>
  <c r="F20" i="19" s="1"/>
  <c r="K20" i="19" s="1"/>
  <c r="J25" i="19"/>
  <c r="F28" i="19"/>
  <c r="K28" i="19" s="1"/>
  <c r="L28" i="19" s="1"/>
  <c r="M28" i="19" s="1"/>
  <c r="J35" i="19"/>
  <c r="J40" i="19"/>
  <c r="J44" i="19"/>
  <c r="F44" i="19" s="1"/>
  <c r="K44" i="19" s="1"/>
  <c r="J52" i="19"/>
  <c r="J59" i="19"/>
  <c r="J65" i="19"/>
  <c r="J69" i="19"/>
  <c r="J77" i="19"/>
  <c r="P52" i="19"/>
  <c r="J19" i="19"/>
  <c r="J21" i="19"/>
  <c r="J26" i="19"/>
  <c r="J31" i="19"/>
  <c r="J36" i="19"/>
  <c r="F36" i="19" s="1"/>
  <c r="K36" i="19" s="1"/>
  <c r="L36" i="19" s="1"/>
  <c r="J41" i="19"/>
  <c r="J45" i="19"/>
  <c r="J53" i="19"/>
  <c r="J60" i="19"/>
  <c r="F60" i="19" s="1"/>
  <c r="K60" i="19" s="1"/>
  <c r="J66" i="19"/>
  <c r="F66" i="19" s="1"/>
  <c r="K66" i="19" s="1"/>
  <c r="J72" i="19"/>
  <c r="J78" i="19"/>
  <c r="P63" i="19"/>
  <c r="P42" i="19"/>
  <c r="J22" i="19"/>
  <c r="F22" i="19" s="1"/>
  <c r="K22" i="19" s="1"/>
  <c r="L22" i="19" s="1"/>
  <c r="M22" i="19" s="1"/>
  <c r="J27" i="19"/>
  <c r="F27" i="19" s="1"/>
  <c r="K27" i="19" s="1"/>
  <c r="L27" i="19" s="1"/>
  <c r="M27" i="19" s="1"/>
  <c r="J33" i="19"/>
  <c r="J42" i="19"/>
  <c r="J48" i="19"/>
  <c r="J54" i="19"/>
  <c r="J63" i="19"/>
  <c r="F63" i="19" s="1"/>
  <c r="K63" i="19" s="1"/>
  <c r="L63" i="19" s="1"/>
  <c r="R63" i="19" s="1"/>
  <c r="J67" i="19"/>
  <c r="F67" i="19" s="1"/>
  <c r="K67" i="19" s="1"/>
  <c r="L67" i="19" s="1"/>
  <c r="F58" i="19"/>
  <c r="K58" i="19" s="1"/>
  <c r="L58" i="19" s="1"/>
  <c r="M58" i="19" s="1"/>
  <c r="F78" i="19"/>
  <c r="K78" i="19" s="1"/>
  <c r="L78" i="19" s="1"/>
  <c r="F42" i="19"/>
  <c r="K42" i="19" s="1"/>
  <c r="L42" i="19" s="1"/>
  <c r="F21" i="19"/>
  <c r="K21" i="19" s="1"/>
  <c r="L21" i="19" s="1"/>
  <c r="S78" i="19"/>
  <c r="S36" i="19"/>
  <c r="S67" i="19"/>
  <c r="S35" i="19"/>
  <c r="S66" i="19"/>
  <c r="S26" i="19"/>
  <c r="S58" i="19"/>
  <c r="S24" i="19"/>
  <c r="O54" i="19"/>
  <c r="O40" i="19"/>
  <c r="O25" i="19"/>
  <c r="I36" i="16"/>
  <c r="M36" i="7"/>
  <c r="S69" i="19"/>
  <c r="S53" i="19"/>
  <c r="S40" i="19"/>
  <c r="S19" i="19"/>
  <c r="P26" i="19"/>
  <c r="P21" i="19"/>
  <c r="O78" i="19"/>
  <c r="O48" i="19"/>
  <c r="O34" i="19"/>
  <c r="O20" i="19"/>
  <c r="H40" i="19"/>
  <c r="H52" i="19"/>
  <c r="F52" i="19" s="1"/>
  <c r="K52" i="19" s="1"/>
  <c r="S49" i="19"/>
  <c r="S73" i="19"/>
  <c r="S48" i="19"/>
  <c r="S77" i="19"/>
  <c r="S33" i="19"/>
  <c r="T34" i="19"/>
  <c r="T26" i="19"/>
  <c r="S59" i="19"/>
  <c r="S43" i="19"/>
  <c r="Q63" i="19"/>
  <c r="P28" i="19"/>
  <c r="P24" i="19"/>
  <c r="O65" i="19"/>
  <c r="H34" i="19"/>
  <c r="F34" i="19" s="1"/>
  <c r="K34" i="19" s="1"/>
  <c r="L34" i="19" s="1"/>
  <c r="H53" i="19"/>
  <c r="F53" i="19" s="1"/>
  <c r="K53" i="19" s="1"/>
  <c r="L53" i="19" s="1"/>
  <c r="H59" i="19"/>
  <c r="F59" i="19" s="1"/>
  <c r="K59" i="19" s="1"/>
  <c r="L59" i="19" s="1"/>
  <c r="M59" i="19" s="1"/>
  <c r="I42" i="4"/>
  <c r="J42" i="4" s="1"/>
  <c r="E42" i="4"/>
  <c r="O42" i="19"/>
  <c r="H54" i="19"/>
  <c r="H31" i="19"/>
  <c r="F31" i="19" s="1"/>
  <c r="K31" i="19" s="1"/>
  <c r="L31" i="19" s="1"/>
  <c r="M31" i="19" s="1"/>
  <c r="H26" i="19"/>
  <c r="F26" i="19" s="1"/>
  <c r="K26" i="19" s="1"/>
  <c r="H37" i="19"/>
  <c r="F37" i="19" s="1"/>
  <c r="K37" i="19" s="1"/>
  <c r="H49" i="19"/>
  <c r="F49" i="19" s="1"/>
  <c r="K49" i="19" s="1"/>
  <c r="H48" i="19"/>
  <c r="F48" i="19" s="1"/>
  <c r="K48" i="19" s="1"/>
  <c r="L48" i="19" s="1"/>
  <c r="H41" i="19"/>
  <c r="F41" i="19" s="1"/>
  <c r="K41" i="19" s="1"/>
  <c r="H25" i="19"/>
  <c r="H19" i="19"/>
  <c r="H24" i="19"/>
  <c r="F24" i="19" s="1"/>
  <c r="K24" i="19" s="1"/>
  <c r="L24" i="19" s="1"/>
  <c r="M24" i="19" s="1"/>
  <c r="H45" i="19"/>
  <c r="F45" i="19" s="1"/>
  <c r="K45" i="19" s="1"/>
  <c r="L45" i="19" s="1"/>
  <c r="M45" i="19" s="1"/>
  <c r="H65" i="19"/>
  <c r="H68" i="19"/>
  <c r="F68" i="19" s="1"/>
  <c r="K68" i="19" s="1"/>
  <c r="L68" i="19" s="1"/>
  <c r="M68" i="19" s="1"/>
  <c r="H72" i="19"/>
  <c r="H35" i="19"/>
  <c r="F35" i="19" s="1"/>
  <c r="K35" i="19" s="1"/>
  <c r="H64" i="19"/>
  <c r="F64" i="19" s="1"/>
  <c r="K64" i="19" s="1"/>
  <c r="H55" i="19"/>
  <c r="O55" i="19" s="1"/>
  <c r="Q25" i="17"/>
  <c r="R33" i="17"/>
  <c r="J45" i="17"/>
  <c r="S34" i="17"/>
  <c r="H46" i="17"/>
  <c r="O46" i="17" s="1"/>
  <c r="J38" i="17"/>
  <c r="J34" i="17"/>
  <c r="J24" i="17"/>
  <c r="J35" i="17"/>
  <c r="P55" i="4"/>
  <c r="O34" i="4"/>
  <c r="Q54" i="4"/>
  <c r="Q31" i="4"/>
  <c r="G42" i="4"/>
  <c r="H42" i="4" s="1"/>
  <c r="T38" i="4"/>
  <c r="T24" i="4"/>
  <c r="T28" i="4"/>
  <c r="J31" i="4"/>
  <c r="J46" i="4"/>
  <c r="Q55" i="4"/>
  <c r="Q26" i="4"/>
  <c r="S55" i="4"/>
  <c r="J21" i="4"/>
  <c r="Q40" i="4"/>
  <c r="Q35" i="4"/>
  <c r="Q19" i="4"/>
  <c r="Q34" i="4"/>
  <c r="J50" i="4"/>
  <c r="F50" i="4" s="1"/>
  <c r="K50" i="4" s="1"/>
  <c r="L50" i="4" s="1"/>
  <c r="M50" i="4" s="1"/>
  <c r="T45" i="4"/>
  <c r="T41" i="4"/>
  <c r="P20" i="4"/>
  <c r="S26" i="4"/>
  <c r="T35" i="4"/>
  <c r="T25" i="4"/>
  <c r="T55" i="4"/>
  <c r="P40" i="4"/>
  <c r="P27" i="4"/>
  <c r="S50" i="4"/>
  <c r="T54" i="4"/>
  <c r="T42" i="4"/>
  <c r="T34" i="4"/>
  <c r="T21" i="4"/>
  <c r="T49" i="4"/>
  <c r="T27" i="4"/>
  <c r="P32" i="4"/>
  <c r="S40" i="4"/>
  <c r="S21" i="4"/>
  <c r="T50" i="4"/>
  <c r="T40" i="4"/>
  <c r="T31" i="4"/>
  <c r="T20" i="4"/>
  <c r="P51" i="4"/>
  <c r="J45" i="4"/>
  <c r="J25" i="4"/>
  <c r="J32" i="4"/>
  <c r="J40" i="4"/>
  <c r="J51" i="4"/>
  <c r="T32" i="4"/>
  <c r="J49" i="4"/>
  <c r="Q51" i="4"/>
  <c r="Q39" i="4"/>
  <c r="Q24" i="4"/>
  <c r="P26" i="4"/>
  <c r="P35" i="4"/>
  <c r="P24" i="4"/>
  <c r="S20" i="4"/>
  <c r="S27" i="4"/>
  <c r="J19" i="4"/>
  <c r="J26" i="4"/>
  <c r="J34" i="4"/>
  <c r="J55" i="4"/>
  <c r="T51" i="4"/>
  <c r="T46" i="4"/>
  <c r="T39" i="4"/>
  <c r="T33" i="4"/>
  <c r="T26" i="4"/>
  <c r="Q25" i="4"/>
  <c r="P49" i="4"/>
  <c r="O51" i="4"/>
  <c r="O35" i="4"/>
  <c r="O28" i="4"/>
  <c r="J38" i="4"/>
  <c r="J20" i="4"/>
  <c r="J28" i="4"/>
  <c r="J35" i="4"/>
  <c r="S27" i="17"/>
  <c r="S54" i="17"/>
  <c r="J49" i="17"/>
  <c r="J51" i="17"/>
  <c r="S50" i="17"/>
  <c r="S33" i="17"/>
  <c r="S26" i="17"/>
  <c r="S40" i="17"/>
  <c r="S32" i="17"/>
  <c r="S21" i="17"/>
  <c r="J21" i="17"/>
  <c r="J19" i="17"/>
  <c r="J20" i="17"/>
  <c r="S55" i="17"/>
  <c r="S39" i="17"/>
  <c r="S28" i="17"/>
  <c r="J27" i="17"/>
  <c r="J28" i="17"/>
  <c r="J25" i="17"/>
  <c r="R51" i="17"/>
  <c r="J54" i="17"/>
  <c r="J32" i="17"/>
  <c r="J46" i="17"/>
  <c r="J31" i="17"/>
  <c r="J55" i="17"/>
  <c r="T39" i="17"/>
  <c r="P54" i="17"/>
  <c r="T26" i="17"/>
  <c r="T25" i="17"/>
  <c r="O50" i="17"/>
  <c r="T40" i="17"/>
  <c r="R39" i="17"/>
  <c r="Q28" i="17"/>
  <c r="R55" i="17"/>
  <c r="T54" i="17"/>
  <c r="T35" i="17"/>
  <c r="S51" i="17"/>
  <c r="S35" i="17"/>
  <c r="S25" i="17"/>
  <c r="R27" i="17"/>
  <c r="R35" i="17"/>
  <c r="P39" i="17"/>
  <c r="T51" i="17"/>
  <c r="T31" i="17"/>
  <c r="T20" i="17"/>
  <c r="Q24" i="17"/>
  <c r="Q35" i="17"/>
  <c r="Q32" i="17"/>
  <c r="Q26" i="17"/>
  <c r="P45" i="17"/>
  <c r="Q27" i="17"/>
  <c r="Q19" i="17"/>
  <c r="T34" i="17"/>
  <c r="T21" i="17"/>
  <c r="O26" i="17"/>
  <c r="Q31" i="17"/>
  <c r="Q20" i="17"/>
  <c r="Q51" i="17"/>
  <c r="Q39" i="17"/>
  <c r="P33" i="17"/>
  <c r="P28" i="17"/>
  <c r="P21" i="17"/>
  <c r="P51" i="17"/>
  <c r="P32" i="17"/>
  <c r="P27" i="17"/>
  <c r="Q38" i="17"/>
  <c r="Q41" i="17"/>
  <c r="Q49" i="17"/>
  <c r="P49" i="17"/>
  <c r="P50" i="17"/>
  <c r="P35" i="17"/>
  <c r="P26" i="17"/>
  <c r="Q45" i="17"/>
  <c r="P20" i="17"/>
  <c r="P46" i="17"/>
  <c r="P55" i="17"/>
  <c r="P40" i="17"/>
  <c r="P34" i="17"/>
  <c r="P31" i="17"/>
  <c r="P25" i="17"/>
  <c r="P24" i="17"/>
  <c r="O35" i="17"/>
  <c r="R34" i="17"/>
  <c r="R40" i="17"/>
  <c r="R26" i="17"/>
  <c r="O55" i="17"/>
  <c r="O40" i="17"/>
  <c r="O34" i="17"/>
  <c r="O25" i="17"/>
  <c r="Q50" i="17"/>
  <c r="Q34" i="17"/>
  <c r="Q55" i="17"/>
  <c r="Q40" i="17"/>
  <c r="Q21" i="17"/>
  <c r="R32" i="17"/>
  <c r="R50" i="17"/>
  <c r="J33" i="17"/>
  <c r="J39" i="17"/>
  <c r="P38" i="17"/>
  <c r="J50" i="17"/>
  <c r="J41" i="17"/>
  <c r="J40" i="17"/>
  <c r="P19" i="17"/>
  <c r="P41" i="17"/>
  <c r="Q46" i="17"/>
  <c r="Q54" i="17"/>
  <c r="Q33" i="17"/>
  <c r="T50" i="17"/>
  <c r="T46" i="17"/>
  <c r="T45" i="17"/>
  <c r="T42" i="17"/>
  <c r="T38" i="17"/>
  <c r="T33" i="17"/>
  <c r="T28" i="17"/>
  <c r="T19" i="17"/>
  <c r="R21" i="17"/>
  <c r="O54" i="17"/>
  <c r="O39" i="17"/>
  <c r="O33" i="17"/>
  <c r="O28" i="17"/>
  <c r="I42" i="17"/>
  <c r="P42" i="17" s="1"/>
  <c r="R28" i="17"/>
  <c r="R25" i="17"/>
  <c r="J26" i="17"/>
  <c r="T55" i="17"/>
  <c r="T49" i="17"/>
  <c r="T41" i="17"/>
  <c r="T32" i="17"/>
  <c r="T27" i="17"/>
  <c r="T24" i="17"/>
  <c r="R54" i="17"/>
  <c r="O51" i="17"/>
  <c r="O32" i="17"/>
  <c r="O27" i="17"/>
  <c r="O21" i="17"/>
  <c r="P34" i="4"/>
  <c r="P50" i="4"/>
  <c r="P54" i="4"/>
  <c r="P28" i="4"/>
  <c r="R32" i="4"/>
  <c r="Q50" i="4"/>
  <c r="Q32" i="4"/>
  <c r="P39" i="4"/>
  <c r="O54" i="4"/>
  <c r="O24" i="4"/>
  <c r="P31" i="4"/>
  <c r="P21" i="4"/>
  <c r="P33" i="4"/>
  <c r="P25" i="4"/>
  <c r="Q38" i="4"/>
  <c r="S25" i="4"/>
  <c r="S34" i="4"/>
  <c r="J24" i="4"/>
  <c r="J27" i="4"/>
  <c r="J33" i="4"/>
  <c r="J39" i="4"/>
  <c r="J54" i="4"/>
  <c r="R24" i="4"/>
  <c r="Q33" i="4"/>
  <c r="Q28" i="4"/>
  <c r="O50" i="4"/>
  <c r="Q41" i="4"/>
  <c r="P41" i="4"/>
  <c r="P38" i="4"/>
  <c r="S51" i="4"/>
  <c r="S32" i="4"/>
  <c r="S24" i="4"/>
  <c r="H40" i="4"/>
  <c r="R55" i="4"/>
  <c r="Q45" i="4"/>
  <c r="O33" i="4"/>
  <c r="O25" i="4"/>
  <c r="Q42" i="4"/>
  <c r="Q46" i="4"/>
  <c r="Q49" i="4"/>
  <c r="S39" i="4"/>
  <c r="S35" i="4"/>
  <c r="S28" i="4"/>
  <c r="H24" i="4"/>
  <c r="H26" i="4"/>
  <c r="S54" i="4"/>
  <c r="R27" i="4"/>
  <c r="P45" i="4"/>
  <c r="R54" i="4"/>
  <c r="R35" i="4"/>
  <c r="R26" i="4"/>
  <c r="R21" i="4"/>
  <c r="R20" i="4"/>
  <c r="P46" i="4"/>
  <c r="H33" i="4"/>
  <c r="S33" i="4"/>
  <c r="R51" i="4"/>
  <c r="R40" i="4"/>
  <c r="R34" i="4"/>
  <c r="R25" i="4"/>
  <c r="H45" i="4"/>
  <c r="O39" i="4"/>
  <c r="O27" i="4"/>
  <c r="H19" i="4"/>
  <c r="R50" i="4"/>
  <c r="R39" i="4"/>
  <c r="R33" i="4"/>
  <c r="R28" i="4"/>
  <c r="E55" i="19"/>
  <c r="I55" i="19"/>
  <c r="J55" i="19" s="1"/>
  <c r="E42" i="17"/>
  <c r="L74" i="19"/>
  <c r="M74" i="19" s="1"/>
  <c r="H50" i="17"/>
  <c r="H32" i="17"/>
  <c r="H27" i="17"/>
  <c r="H21" i="17"/>
  <c r="H24" i="17"/>
  <c r="H54" i="17"/>
  <c r="H39" i="17"/>
  <c r="H34" i="17"/>
  <c r="H31" i="17"/>
  <c r="O31" i="17" s="1"/>
  <c r="H41" i="17"/>
  <c r="H42" i="17"/>
  <c r="H45" i="17"/>
  <c r="H55" i="17"/>
  <c r="H35" i="17"/>
  <c r="H26" i="17"/>
  <c r="H20" i="17"/>
  <c r="H49" i="17"/>
  <c r="H51" i="17"/>
  <c r="H40" i="17"/>
  <c r="H33" i="17"/>
  <c r="H25" i="17"/>
  <c r="H38" i="17"/>
  <c r="H19" i="17"/>
  <c r="H28" i="17"/>
  <c r="M67" i="19"/>
  <c r="H46" i="4"/>
  <c r="H55" i="4"/>
  <c r="H39" i="4"/>
  <c r="H28" i="4"/>
  <c r="H31" i="4"/>
  <c r="H41" i="4"/>
  <c r="H54" i="4"/>
  <c r="H51" i="4"/>
  <c r="H27" i="4"/>
  <c r="H20" i="4"/>
  <c r="H32" i="4"/>
  <c r="H25" i="4"/>
  <c r="H49" i="4"/>
  <c r="H34" i="4"/>
  <c r="H38" i="4"/>
  <c r="H35" i="4"/>
  <c r="H21" i="4"/>
  <c r="O52" i="19" l="1"/>
  <c r="L43" i="19"/>
  <c r="M43" i="19" s="1"/>
  <c r="M53" i="19"/>
  <c r="R42" i="19"/>
  <c r="M42" i="19"/>
  <c r="S42" i="19" s="1"/>
  <c r="F33" i="19"/>
  <c r="K33" i="19" s="1"/>
  <c r="L33" i="19" s="1"/>
  <c r="M33" i="19" s="1"/>
  <c r="F69" i="19"/>
  <c r="K69" i="19" s="1"/>
  <c r="L69" i="19" s="1"/>
  <c r="M69" i="19" s="1"/>
  <c r="M34" i="19"/>
  <c r="L52" i="19"/>
  <c r="R52" i="19" s="1"/>
  <c r="T79" i="19"/>
  <c r="L66" i="19"/>
  <c r="M66" i="19" s="1"/>
  <c r="L60" i="19"/>
  <c r="M60" i="19" s="1"/>
  <c r="L44" i="19"/>
  <c r="M44" i="19" s="1"/>
  <c r="L20" i="19"/>
  <c r="M20" i="19" s="1"/>
  <c r="M21" i="19"/>
  <c r="M63" i="19"/>
  <c r="S63" i="19" s="1"/>
  <c r="F19" i="19"/>
  <c r="K19" i="19" s="1"/>
  <c r="F54" i="19"/>
  <c r="K54" i="19" s="1"/>
  <c r="F40" i="19"/>
  <c r="K40" i="19" s="1"/>
  <c r="M78" i="19"/>
  <c r="F65" i="19"/>
  <c r="K65" i="19" s="1"/>
  <c r="L65" i="19" s="1"/>
  <c r="M65" i="19" s="1"/>
  <c r="F25" i="19"/>
  <c r="K25" i="19" s="1"/>
  <c r="L25" i="19" s="1"/>
  <c r="M36" i="19"/>
  <c r="M77" i="19"/>
  <c r="F40" i="4"/>
  <c r="K40" i="4" s="1"/>
  <c r="L40" i="4" s="1"/>
  <c r="P42" i="4"/>
  <c r="P56" i="4" s="1"/>
  <c r="L64" i="19"/>
  <c r="M64" i="19" s="1"/>
  <c r="M48" i="19"/>
  <c r="P55" i="19"/>
  <c r="P79" i="19" s="1"/>
  <c r="Q55" i="19"/>
  <c r="Q79" i="19" s="1"/>
  <c r="F55" i="19"/>
  <c r="K55" i="19" s="1"/>
  <c r="L55" i="19" s="1"/>
  <c r="R55" i="19" s="1"/>
  <c r="O72" i="19"/>
  <c r="O79" i="19" s="1"/>
  <c r="F72" i="19"/>
  <c r="K72" i="19" s="1"/>
  <c r="L35" i="19"/>
  <c r="M35" i="19" s="1"/>
  <c r="L49" i="19"/>
  <c r="M49" i="19" s="1"/>
  <c r="L37" i="19"/>
  <c r="M37" i="19" s="1"/>
  <c r="L41" i="19"/>
  <c r="M41" i="19" s="1"/>
  <c r="L26" i="19"/>
  <c r="M26" i="19" s="1"/>
  <c r="F46" i="17"/>
  <c r="K46" i="17" s="1"/>
  <c r="L46" i="17" s="1"/>
  <c r="R46" i="17" s="1"/>
  <c r="F35" i="17"/>
  <c r="K35" i="17" s="1"/>
  <c r="L35" i="17" s="1"/>
  <c r="M35" i="17" s="1"/>
  <c r="F25" i="17"/>
  <c r="K25" i="17" s="1"/>
  <c r="L25" i="17" s="1"/>
  <c r="M25" i="17" s="1"/>
  <c r="F34" i="17"/>
  <c r="K34" i="17" s="1"/>
  <c r="L34" i="17" s="1"/>
  <c r="M34" i="17" s="1"/>
  <c r="F39" i="4"/>
  <c r="K39" i="4" s="1"/>
  <c r="L39" i="4" s="1"/>
  <c r="M39" i="4" s="1"/>
  <c r="F55" i="4"/>
  <c r="K55" i="4" s="1"/>
  <c r="L55" i="4" s="1"/>
  <c r="M55" i="4" s="1"/>
  <c r="F45" i="4"/>
  <c r="K45" i="4" s="1"/>
  <c r="L45" i="4" s="1"/>
  <c r="R45" i="4" s="1"/>
  <c r="F42" i="4"/>
  <c r="K42" i="4" s="1"/>
  <c r="L42" i="4" s="1"/>
  <c r="R42" i="4" s="1"/>
  <c r="F28" i="4"/>
  <c r="K28" i="4" s="1"/>
  <c r="L28" i="4" s="1"/>
  <c r="M28" i="4" s="1"/>
  <c r="F21" i="4"/>
  <c r="K21" i="4" s="1"/>
  <c r="L21" i="4" s="1"/>
  <c r="M21" i="4" s="1"/>
  <c r="F19" i="4"/>
  <c r="K19" i="4" s="1"/>
  <c r="L19" i="4" s="1"/>
  <c r="M19" i="4" s="1"/>
  <c r="F35" i="4"/>
  <c r="K35" i="4" s="1"/>
  <c r="L35" i="4" s="1"/>
  <c r="M35" i="4" s="1"/>
  <c r="F34" i="4"/>
  <c r="K34" i="4" s="1"/>
  <c r="L34" i="4" s="1"/>
  <c r="M34" i="4" s="1"/>
  <c r="F25" i="4"/>
  <c r="K25" i="4" s="1"/>
  <c r="L25" i="4" s="1"/>
  <c r="M25" i="4" s="1"/>
  <c r="F51" i="4"/>
  <c r="K51" i="4" s="1"/>
  <c r="L51" i="4" s="1"/>
  <c r="M51" i="4" s="1"/>
  <c r="F26" i="4"/>
  <c r="K26" i="4" s="1"/>
  <c r="L26" i="4" s="1"/>
  <c r="M26" i="4" s="1"/>
  <c r="T56" i="4"/>
  <c r="O45" i="4"/>
  <c r="F20" i="4"/>
  <c r="K20" i="4" s="1"/>
  <c r="L20" i="4" s="1"/>
  <c r="M20" i="4" s="1"/>
  <c r="F32" i="4"/>
  <c r="K32" i="4" s="1"/>
  <c r="L32" i="4" s="1"/>
  <c r="M32" i="4" s="1"/>
  <c r="F51" i="17"/>
  <c r="K51" i="17" s="1"/>
  <c r="L51" i="17" s="1"/>
  <c r="M51" i="17" s="1"/>
  <c r="F27" i="17"/>
  <c r="K27" i="17" s="1"/>
  <c r="L27" i="17" s="1"/>
  <c r="M27" i="17" s="1"/>
  <c r="F21" i="17"/>
  <c r="K21" i="17" s="1"/>
  <c r="L21" i="17" s="1"/>
  <c r="M21" i="17" s="1"/>
  <c r="F40" i="17"/>
  <c r="K40" i="17" s="1"/>
  <c r="L40" i="17" s="1"/>
  <c r="M40" i="17" s="1"/>
  <c r="F32" i="17"/>
  <c r="K32" i="17" s="1"/>
  <c r="L32" i="17" s="1"/>
  <c r="M32" i="17" s="1"/>
  <c r="F28" i="17"/>
  <c r="K28" i="17" s="1"/>
  <c r="L28" i="17" s="1"/>
  <c r="M28" i="17" s="1"/>
  <c r="F55" i="17"/>
  <c r="K55" i="17" s="1"/>
  <c r="L55" i="17" s="1"/>
  <c r="M55" i="17" s="1"/>
  <c r="F31" i="17"/>
  <c r="K31" i="17" s="1"/>
  <c r="L31" i="17" s="1"/>
  <c r="F54" i="17"/>
  <c r="K54" i="17" s="1"/>
  <c r="L54" i="17" s="1"/>
  <c r="M54" i="17" s="1"/>
  <c r="F50" i="17"/>
  <c r="K50" i="17" s="1"/>
  <c r="L50" i="17" s="1"/>
  <c r="M50" i="17" s="1"/>
  <c r="F33" i="17"/>
  <c r="K33" i="17" s="1"/>
  <c r="L33" i="17" s="1"/>
  <c r="M33" i="17" s="1"/>
  <c r="F26" i="17"/>
  <c r="K26" i="17" s="1"/>
  <c r="L26" i="17" s="1"/>
  <c r="M26" i="17" s="1"/>
  <c r="T56" i="17"/>
  <c r="F39" i="17"/>
  <c r="K39" i="17" s="1"/>
  <c r="L39" i="17" s="1"/>
  <c r="M39" i="17" s="1"/>
  <c r="P56" i="17"/>
  <c r="J42" i="17"/>
  <c r="F42" i="17" s="1"/>
  <c r="K42" i="17" s="1"/>
  <c r="Q42" i="17"/>
  <c r="Q56" i="17" s="1"/>
  <c r="F54" i="4"/>
  <c r="K54" i="4" s="1"/>
  <c r="L54" i="4" s="1"/>
  <c r="M54" i="4" s="1"/>
  <c r="F33" i="4"/>
  <c r="K33" i="4" s="1"/>
  <c r="L33" i="4" s="1"/>
  <c r="M33" i="4" s="1"/>
  <c r="O42" i="4"/>
  <c r="F24" i="4"/>
  <c r="K24" i="4" s="1"/>
  <c r="F27" i="4"/>
  <c r="K27" i="4" s="1"/>
  <c r="L27" i="4" s="1"/>
  <c r="M27" i="4" s="1"/>
  <c r="Q56" i="4"/>
  <c r="F49" i="17"/>
  <c r="K49" i="17" s="1"/>
  <c r="O49" i="17"/>
  <c r="O42" i="17"/>
  <c r="F38" i="4"/>
  <c r="K38" i="4" s="1"/>
  <c r="O38" i="4"/>
  <c r="O31" i="4"/>
  <c r="F31" i="4"/>
  <c r="K31" i="4" s="1"/>
  <c r="F38" i="17"/>
  <c r="K38" i="17" s="1"/>
  <c r="O38" i="17"/>
  <c r="O49" i="4"/>
  <c r="F49" i="4"/>
  <c r="K49" i="4" s="1"/>
  <c r="F46" i="4"/>
  <c r="K46" i="4" s="1"/>
  <c r="O46" i="4"/>
  <c r="F45" i="17"/>
  <c r="K45" i="17" s="1"/>
  <c r="O45" i="17"/>
  <c r="F24" i="17"/>
  <c r="K24" i="17" s="1"/>
  <c r="O24" i="17"/>
  <c r="F41" i="4"/>
  <c r="K41" i="4" s="1"/>
  <c r="O41" i="4"/>
  <c r="F19" i="17"/>
  <c r="K19" i="17" s="1"/>
  <c r="O19" i="17"/>
  <c r="O20" i="17"/>
  <c r="F20" i="17"/>
  <c r="K20" i="17" s="1"/>
  <c r="O41" i="17"/>
  <c r="F41" i="17"/>
  <c r="K41" i="17" s="1"/>
  <c r="M40" i="4" l="1"/>
  <c r="L54" i="19"/>
  <c r="M54" i="19" s="1"/>
  <c r="M55" i="19"/>
  <c r="S55" i="19" s="1"/>
  <c r="M52" i="19"/>
  <c r="S52" i="19" s="1"/>
  <c r="L40" i="19"/>
  <c r="M40" i="19" s="1"/>
  <c r="M25" i="19"/>
  <c r="L19" i="19"/>
  <c r="M19" i="19" s="1"/>
  <c r="M31" i="17"/>
  <c r="S31" i="17" s="1"/>
  <c r="R31" i="17"/>
  <c r="L72" i="19"/>
  <c r="R72" i="19" s="1"/>
  <c r="R79" i="19" s="1"/>
  <c r="M45" i="4"/>
  <c r="S45" i="4" s="1"/>
  <c r="L24" i="4"/>
  <c r="M24" i="4" s="1"/>
  <c r="M42" i="4"/>
  <c r="S42" i="4" s="1"/>
  <c r="U42" i="4" s="1"/>
  <c r="L38" i="17"/>
  <c r="R38" i="17" s="1"/>
  <c r="O56" i="17"/>
  <c r="L31" i="4"/>
  <c r="R31" i="4" s="1"/>
  <c r="L19" i="17"/>
  <c r="R19" i="17" s="1"/>
  <c r="L41" i="4"/>
  <c r="R41" i="4" s="1"/>
  <c r="L24" i="17"/>
  <c r="R24" i="17" s="1"/>
  <c r="L45" i="17"/>
  <c r="R45" i="17" s="1"/>
  <c r="L46" i="4"/>
  <c r="R46" i="4" s="1"/>
  <c r="O56" i="4"/>
  <c r="L49" i="17"/>
  <c r="R49" i="17" s="1"/>
  <c r="L38" i="4"/>
  <c r="R38" i="4" s="1"/>
  <c r="L41" i="17"/>
  <c r="R41" i="17" s="1"/>
  <c r="L20" i="17"/>
  <c r="R20" i="17" s="1"/>
  <c r="M46" i="17"/>
  <c r="S46" i="17" s="1"/>
  <c r="L49" i="4"/>
  <c r="R49" i="4" s="1"/>
  <c r="L42" i="17"/>
  <c r="R42" i="17" s="1"/>
  <c r="M72" i="19" l="1"/>
  <c r="S72" i="19" s="1"/>
  <c r="S79" i="19" s="1"/>
  <c r="T81" i="19" s="1"/>
  <c r="P80" i="19" s="1"/>
  <c r="I21" i="18" s="1"/>
  <c r="M20" i="17"/>
  <c r="S20" i="17" s="1"/>
  <c r="M19" i="17"/>
  <c r="S19" i="17" s="1"/>
  <c r="M49" i="17"/>
  <c r="S49" i="17" s="1"/>
  <c r="M38" i="17"/>
  <c r="S38" i="17" s="1"/>
  <c r="M49" i="4"/>
  <c r="S49" i="4" s="1"/>
  <c r="M46" i="4"/>
  <c r="S46" i="4" s="1"/>
  <c r="M41" i="4"/>
  <c r="S41" i="4" s="1"/>
  <c r="M42" i="17"/>
  <c r="S42" i="17" s="1"/>
  <c r="U42" i="17" s="1"/>
  <c r="Q62" i="7" s="1"/>
  <c r="M24" i="17"/>
  <c r="S24" i="17" s="1"/>
  <c r="R56" i="17"/>
  <c r="M38" i="4"/>
  <c r="S38" i="4" s="1"/>
  <c r="R56" i="4"/>
  <c r="M41" i="17"/>
  <c r="S41" i="17" s="1"/>
  <c r="M45" i="17"/>
  <c r="S45" i="17" s="1"/>
  <c r="M31" i="4"/>
  <c r="S31" i="4" s="1"/>
  <c r="O80" i="19" l="1"/>
  <c r="R80" i="19"/>
  <c r="I19" i="18" s="1"/>
  <c r="Q80" i="19"/>
  <c r="I20" i="18" s="1"/>
  <c r="S80" i="19"/>
  <c r="I34" i="18" s="1"/>
  <c r="S56" i="17"/>
  <c r="T58" i="17" s="1"/>
  <c r="S56" i="4"/>
  <c r="T58" i="4" s="1"/>
  <c r="T82" i="19" l="1"/>
  <c r="I18" i="18"/>
  <c r="D27" i="18" s="1"/>
  <c r="I27" i="18" s="1"/>
  <c r="I28" i="18" s="1"/>
  <c r="P57" i="4"/>
  <c r="I23" i="7" s="1"/>
  <c r="Q57" i="4"/>
  <c r="I22" i="7" s="1"/>
  <c r="O57" i="4"/>
  <c r="Q57" i="17"/>
  <c r="M22" i="7" s="1"/>
  <c r="P57" i="17"/>
  <c r="M23" i="7" s="1"/>
  <c r="O57" i="17"/>
  <c r="M20" i="7" s="1"/>
  <c r="R57" i="4"/>
  <c r="I21" i="7" s="1"/>
  <c r="S57" i="17"/>
  <c r="M37" i="7" s="1"/>
  <c r="S57" i="4"/>
  <c r="I37" i="7" s="1"/>
  <c r="R57" i="17"/>
  <c r="M21" i="7" s="1"/>
  <c r="I21" i="16" l="1"/>
  <c r="I23" i="16"/>
  <c r="I37" i="16"/>
  <c r="I22" i="16"/>
  <c r="I30" i="18"/>
  <c r="I37" i="18" s="1"/>
  <c r="D39" i="18"/>
  <c r="D40" i="18"/>
  <c r="D41" i="18"/>
  <c r="I20" i="16"/>
  <c r="T59" i="17"/>
  <c r="T59" i="4"/>
  <c r="I20" i="7"/>
  <c r="D30" i="7" s="1"/>
  <c r="I30" i="7" s="1"/>
  <c r="I31" i="7" s="1"/>
  <c r="J30" i="7" l="1"/>
  <c r="M30" i="7" s="1"/>
  <c r="M31" i="7" s="1"/>
  <c r="M33" i="7" s="1"/>
  <c r="M40" i="7" s="1"/>
  <c r="D30" i="16"/>
  <c r="I30" i="16" s="1"/>
  <c r="I31" i="16" s="1"/>
  <c r="I33" i="7"/>
  <c r="I40" i="7" s="1"/>
  <c r="Q16" i="7" l="1"/>
  <c r="D44" i="16"/>
  <c r="I33" i="16"/>
  <c r="I40" i="16" s="1"/>
  <c r="D43" i="16"/>
  <c r="D42" i="16"/>
  <c r="Q15" i="7" l="1"/>
  <c r="Q14" i="7" s="1"/>
  <c r="Q17" i="7"/>
  <c r="Q18" i="7" s="1"/>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<sst xmlns="http://schemas.openxmlformats.org/spreadsheetml/2006/main" count="618" uniqueCount="237">
  <si>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</si>
  <si>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</si>
  <si>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</si>
  <si>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</si>
  <si>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</si>
  <si>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</si>
  <si>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</si>
  <si>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</si>
  <si>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</si>
  <si>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</si>
  <si>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</si>
  <si>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</si>
  <si>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</si>
  <si>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</si>
  <si>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</si>
  <si>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</si>
  <si>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</si>
  <si>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</si>
  <si>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</si>
  <si>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</si>
  <si>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</si>
  <si>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</si>
  <si>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</si>
  <si>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</si>
  <si>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</si>
  <si>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</si>
  <si>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</si>
  <si>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</si>
  <si>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</si>
  <si>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</si>
  <si>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</si>
  <si>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</si>
  <si>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</si>
  <si>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</si>
  <si>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</si>
  <si>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</si>
  <si>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</si>
  <si>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</si>
  <si>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</si>
  <si>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</si>
  <si>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</si>
  <si>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</si>
  <si>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</si>
  <si>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</si>
  <si>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</si>
  <si>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</si>
  <si>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</si>
  <si>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</si>
  <si>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</si>
  <si>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</si>
  <si>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</si>
  <si>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</si>
  <si>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</si>
  <si>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</si>
  <si>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</si>
  <si>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</si>
  <si>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</si>
  <si>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</si>
  <si>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</si>
  <si>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</si>
  <si>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</si>
  <si>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</si>
  <si>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</si>
  <si>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</si>
  <si>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</si>
  <si>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</si>
  <si>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</si>
  <si>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</si>
  <si>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</si>
  <si>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</si>
  <si>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</si>
  <si>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</si>
  <si>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</si>
  <si>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</si>
  <si>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</si>
  <si>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</si>
  <si>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</si>
  <si>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</si>
  <si>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</si>
  <si>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</si>
  <si>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</si>
  <si>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</si>
  <si>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</si>
  <si>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</si>
  <si>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Direct Gov't Payment</t>
  </si>
  <si>
    <t xml:space="preserve"> </t>
  </si>
  <si>
    <t>Taxes and Insurance</t>
  </si>
  <si>
    <t>Machinery Rental</t>
  </si>
  <si>
    <t>Do one budget for No-Till and one for Conventional Tillage</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</si>
  <si>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</si>
  <si>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</si>
  <si>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</si>
  <si>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</si>
  <si>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</si>
  <si>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</si>
  <si>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</si>
  <si>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</si>
  <si>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</si>
  <si>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</si>
  <si>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</si>
  <si>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Calc Rate @$3.00</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</si>
  <si>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</si>
  <si>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</si>
  <si>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</si>
  <si>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</si>
  <si>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</si>
  <si>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</si>
  <si>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</si>
  <si>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</si>
  <si>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</si>
  <si>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</si>
  <si>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</si>
  <si>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</si>
  <si>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</si>
  <si>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</si>
  <si>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</si>
  <si>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</si>
  <si>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</si>
  <si>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</si>
  <si>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</si>
  <si>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</si>
  <si>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</si>
  <si>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</si>
  <si>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</si>
  <si>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</si>
  <si>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</si>
  <si>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</si>
  <si>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</si>
  <si>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</si>
  <si>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</si>
  <si>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</si>
  <si>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</si>
  <si>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</si>
  <si>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</si>
  <si>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</si>
  <si>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</si>
  <si>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</si>
  <si>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</si>
  <si>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</si>
  <si>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</si>
  <si>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</si>
  <si>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</si>
  <si>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</si>
  <si>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</si>
  <si>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</si>
  <si>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</si>
  <si>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</si>
  <si>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</si>
  <si>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</si>
  <si>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 xml:space="preserve">This decision tool has been created to help producers budget for corn and soybean </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</si>
  <si>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</si>
  <si>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</si>
  <si>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</si>
  <si>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</si>
  <si>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</si>
  <si>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</si>
  <si>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Ability to enter actual fertilzer and price in tons.</t>
  </si>
  <si>
    <t>No-Till Soybeans, Per Acre Costs and Returns</t>
  </si>
  <si>
    <r>
      <t>No-Till Corn</t>
    </r>
    <r>
      <rPr>
        <sz val="12"/>
        <rFont val="Arial"/>
        <family val="2"/>
      </rPr>
      <t>:</t>
    </r>
  </si>
  <si>
    <t>P, K, and Lime Applications</t>
  </si>
  <si>
    <t>Burndown + Residual Herbicide Application</t>
  </si>
  <si>
    <t>Anhydrous Application</t>
  </si>
  <si>
    <t>No-Till Planting</t>
  </si>
  <si>
    <t>Post-Emergence Herbicide Application</t>
  </si>
  <si>
    <t xml:space="preserve">Harvesting </t>
  </si>
  <si>
    <t xml:space="preserve">   Combine</t>
  </si>
  <si>
    <t xml:space="preserve">   Grain Cart</t>
  </si>
  <si>
    <t xml:space="preserve">   Trucking </t>
  </si>
  <si>
    <t>Field Operations Included in Machinery-Related Calculations</t>
  </si>
  <si>
    <t>Conventional Tillage Corn, Per Acre Costs and Returns</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</si>
  <si>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</si>
  <si>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</si>
  <si>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</si>
  <si>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</si>
  <si>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</si>
  <si>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</si>
  <si>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</si>
  <si>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</si>
  <si>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</si>
  <si>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</si>
  <si>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</si>
  <si>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</si>
  <si>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</si>
  <si>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Cash Rent</t>
    </r>
    <r>
      <rPr>
        <vertAlign val="superscript"/>
        <sz val="10"/>
        <rFont val="Arial"/>
        <family val="2"/>
      </rPr>
      <t>4</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</si>
  <si>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</si>
  <si>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</si>
  <si>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</si>
  <si>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</si>
  <si>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</si>
  <si>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</si>
  <si>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</si>
  <si>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</si>
  <si>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</si>
  <si>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</si>
  <si>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r>
      <t>Cash Rent</t>
    </r>
    <r>
      <rPr>
        <vertAlign val="superscript"/>
        <sz val="10"/>
        <rFont val="Arial"/>
        <family val="2"/>
      </rPr>
      <t>3</t>
    </r>
  </si>
  <si>
    <t>units</t>
  </si>
  <si>
    <t>Associate Extenstion Professor</t>
  </si>
  <si>
    <t>Calc Rate @$2.00</t>
  </si>
  <si>
    <t>Fuel Cost ($2.00 Base)</t>
  </si>
  <si>
    <t>Sorghum</t>
  </si>
  <si>
    <t>Crop Insurance Payment</t>
  </si>
  <si>
    <t>Gov't Program Payment</t>
  </si>
  <si>
    <r>
      <t>·</t>
    </r>
    <r>
      <rPr>
        <sz val="7"/>
        <rFont val="Times New Roman"/>
        <family val="1"/>
      </rPr>
      <t xml:space="preserve">   </t>
    </r>
    <r>
      <rPr>
        <sz val="12"/>
        <rFont val="Times New Roman"/>
        <family val="1"/>
      </rPr>
      <t>Trucking distance may be different for corn/sorghum.  May need to allow user to enter two different distances.  Show cost for trucking?</t>
    </r>
  </si>
  <si>
    <r>
      <t>·</t>
    </r>
    <r>
      <rPr>
        <sz val="7"/>
        <rFont val="Times New Roman"/>
        <family val="1"/>
      </rPr>
      <t xml:space="preserve">   </t>
    </r>
    <r>
      <rPr>
        <sz val="12"/>
        <rFont val="Times New Roman"/>
        <family val="1"/>
      </rPr>
      <t>Often spray down again when grain is 75% mature (30% moisture) to get it to dry down at same time (shatters if uneven moisture); $7/acre for product plus application</t>
    </r>
  </si>
  <si>
    <r>
      <t>·</t>
    </r>
    <r>
      <rPr>
        <sz val="7"/>
        <rFont val="Times New Roman"/>
        <family val="1"/>
      </rPr>
      <t xml:space="preserve">   </t>
    </r>
    <r>
      <rPr>
        <sz val="12"/>
        <rFont val="Times New Roman"/>
        <family val="1"/>
      </rPr>
      <t>Drying costs will be higher for the same bushel-points as it is harder to dry.</t>
    </r>
  </si>
  <si>
    <r>
      <t>·</t>
    </r>
    <r>
      <rPr>
        <sz val="7"/>
        <rFont val="Times New Roman"/>
        <family val="1"/>
      </rPr>
      <t xml:space="preserve">   </t>
    </r>
    <r>
      <rPr>
        <sz val="12"/>
        <rFont val="Times New Roman"/>
        <family val="1"/>
      </rPr>
      <t>We will get this estimate from Sam McNeil: ask him % higher cost for removing 5 bu-pts.</t>
    </r>
  </si>
  <si>
    <r>
      <t>·</t>
    </r>
    <r>
      <rPr>
        <sz val="7"/>
        <rFont val="Times New Roman"/>
        <family val="1"/>
      </rPr>
      <t xml:space="preserve">   </t>
    </r>
    <r>
      <rPr>
        <sz val="12"/>
        <rFont val="Times New Roman"/>
        <family val="1"/>
      </rPr>
      <t>Storage can be difficult as it needs more space at top.</t>
    </r>
  </si>
  <si>
    <t>Show which is more profitable with the given situation (use if then statement to do this)</t>
  </si>
  <si>
    <t>Storage</t>
  </si>
  <si>
    <t>Other benefit to milo: harvest sooner to get wheat planted; can it be double cropped after wheat harvest?</t>
  </si>
  <si>
    <t>Sorghum-Corn Comparison Budget 2016</t>
  </si>
  <si>
    <r>
      <t>Purpose</t>
    </r>
    <r>
      <rPr>
        <sz val="10"/>
        <rFont val="Arial"/>
        <family val="2"/>
      </rPr>
      <t>: This Decision Aid has been constructed to help producers decide between sorghum and corn production.</t>
    </r>
  </si>
  <si>
    <r>
      <t>Sorghum-Corn Sheet:</t>
    </r>
    <r>
      <rPr>
        <sz val="10"/>
        <rFont val="Arial"/>
        <family val="2"/>
      </rPr>
      <t xml:space="preserve"> Main sheet for entering and reviewing results.  The data that will have the most impact are the yield differences between sorghum and corn, price differences, nitrogen rate differences, and trucking distances.    Enter fertilizer (N,P,K) on an elemental (unit) basis.  User can either estimate their own machinery-related costs or have them calculated based on the publication "Custom Machinery Rates Applicable to Kentucky (2016)" (see above).  To have them calculated, enter "Y" to the question "Calculate Machinery Related Costs?".  Be sure to specify the average points per bushel that you will dry your corn down by.  </t>
    </r>
  </si>
  <si>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(2016)".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budget.     </t>
    </r>
  </si>
  <si>
    <r>
      <t>No-Till Sorghum</t>
    </r>
    <r>
      <rPr>
        <sz val="12"/>
        <rFont val="Arial"/>
        <family val="2"/>
      </rPr>
      <t>:</t>
    </r>
  </si>
  <si>
    <r>
      <rPr>
        <b/>
        <sz val="16"/>
        <rFont val="Arial"/>
        <family val="2"/>
      </rPr>
      <t>Corn (</t>
    </r>
    <r>
      <rPr>
        <b/>
        <sz val="12"/>
        <rFont val="Arial"/>
        <family val="2"/>
      </rPr>
      <t>Per Acre Costs and Returns)</t>
    </r>
  </si>
  <si>
    <r>
      <rPr>
        <b/>
        <sz val="16"/>
        <rFont val="Arial"/>
        <family val="2"/>
      </rPr>
      <t>Sorghum (</t>
    </r>
    <r>
      <rPr>
        <b/>
        <sz val="12"/>
        <rFont val="Arial"/>
        <family val="2"/>
      </rPr>
      <t>Per Acre Costs and Returns)</t>
    </r>
  </si>
  <si>
    <t>Herbicides, Insecticides, Fungicides</t>
  </si>
  <si>
    <t>miles one-way trucking</t>
  </si>
  <si>
    <t>Sorghum Yield</t>
  </si>
  <si>
    <t>Yield Change</t>
  </si>
  <si>
    <t>Var Cost $/bu</t>
  </si>
  <si>
    <t>Relative Returns</t>
  </si>
  <si>
    <t>(Positive Returns Indicate Advantage to Sorghum)</t>
  </si>
  <si>
    <t>Returns Based on Varying Sorghum Yield</t>
  </si>
  <si>
    <r>
      <t>Trucking (one-way miles)</t>
    </r>
    <r>
      <rPr>
        <vertAlign val="superscript"/>
        <sz val="10"/>
        <rFont val="Arial"/>
        <family val="2"/>
      </rPr>
      <t>1</t>
    </r>
  </si>
  <si>
    <r>
      <t>miles one-way trucking</t>
    </r>
    <r>
      <rPr>
        <vertAlign val="superscript"/>
        <sz val="10"/>
        <rFont val="Arial"/>
        <family val="2"/>
      </rPr>
      <t>1</t>
    </r>
  </si>
  <si>
    <r>
      <t>1</t>
    </r>
    <r>
      <rPr>
        <sz val="10"/>
        <rFont val="Arial"/>
        <family val="2"/>
      </rPr>
      <t xml:space="preserve"> Not all elevators take sorghum and those that do may only take it at certain times for logistical reasons.</t>
    </r>
  </si>
  <si>
    <r>
      <rPr>
        <u/>
        <sz val="10"/>
        <rFont val="Arial"/>
        <family val="2"/>
      </rPr>
      <t>General Sorghum Note</t>
    </r>
    <r>
      <rPr>
        <sz val="10"/>
        <rFont val="Arial"/>
        <family val="2"/>
      </rPr>
      <t>: Sorghum can be more difficult to work with compared to corn.  It gets clogged easilty, it is hard to get air through for drying, etc.</t>
    </r>
  </si>
  <si>
    <t>Corn Yield</t>
  </si>
  <si>
    <t>Note: Accounts for changes in trucking and P and K use.</t>
  </si>
  <si>
    <t>Jordan Shockley</t>
  </si>
  <si>
    <t>Assistant Extension Professor</t>
  </si>
  <si>
    <t>jordan.shockley@uky.edu</t>
  </si>
  <si>
    <t>859-218-4391</t>
  </si>
  <si>
    <t>Last Updated 4/21/16</t>
  </si>
  <si>
    <t xml:space="preserve">production.  To navigate through the tool, please click on the tabs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</si>
</sst>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
    <numFmt numFmtId="165" formatCode="&quot;$&quot;#,##0"/>
    <numFmt numFmtId="166" formatCode="0.0%"/>
    <numFmt numFmtId="167" formatCode="#,##0.0"/>
    <numFmt numFmtId="168" formatCode="0.0"/>
  </numFmts>
  <fonts count="31"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sz val="8"/>
      <color indexed="81"/>
      <name val="Tahoma"/>
      <family val="2"/>
    </font>
    <font>
      <b/>
      <sz val="8"/>
      <color indexed="81"/>
      <name val="Tahoma"/>
      <family val="2"/>
    </font>
    <font>
      <sz val="12"/>
      <name val="Times New Roman"/>
      <family val="1"/>
    </font>
    <font>
      <sz val="12"/>
      <name val="Symbol"/>
      <family val="1"/>
      <charset val="2"/>
    </font>
    <font>
      <sz val="7"/>
      <name val="Times New Roman"/>
      <family val="1"/>
    </font>
    <font>
      <b/>
      <sz val="16"/>
      <name val="Arial"/>
      <family val="2"/>
    </font>
    <font>
      <i/>
      <sz val="9"/>
      <name val="Arial"/>
      <family val="2"/>
    </font>
  </fonts>
  <fills count="8">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18"/>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right/>
      <top/>
      <bottom style="thick">
        <color auto="1"/>
      </bottom>
      <diagonal/>
    </border>
    <border>
      <left/>
      <right/>
      <top style="thick">
        <color indexed="64"/>
      </top>
      <bottom style="thin">
        <color indexed="64"/>
      </bottom>
      <diagonal/>
    </border>
    <border>
      <left/>
      <right/>
      <top style="thick">
        <color auto="1"/>
      </top>
      <bottom style="thick">
        <color auto="1"/>
      </bottom>
      <diagonal/>
    </border>
    <border>
      <left style="thin">
        <color indexed="64"/>
      </left>
      <right style="thin">
        <color indexed="64"/>
      </right>
      <top/>
      <bottom style="thick">
        <color auto="1"/>
      </bottom>
      <diagonal/>
    </border>
  </borders>
  <cellStyleXfs count="2">
    <xf numFmtId="0" fontId="0" fillId="0" borderId="0"/>
    <xf numFmtId="0" fontId="13" fillId="0" borderId="0" applyNumberFormat="0" applyFill="0" applyBorder="0" applyAlignment="0" applyProtection="0">
      <alignment vertical="top"/>
      <protection locked="0"/>
    </xf>
  </cellStyleXfs>
  <cellXfs count="255">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Fill="1" applyBorder="1"/>
    <xf numFmtId="164" fontId="4" fillId="0" borderId="0" xfId="0" applyNumberFormat="1" applyFont="1"/>
    <xf numFmtId="0" fontId="4" fillId="0" borderId="0" xfId="0" applyFont="1"/>
    <xf numFmtId="0" fontId="0" fillId="0" borderId="1" xfId="0" applyFill="1" applyBorder="1"/>
    <xf numFmtId="0" fontId="2" fillId="0" borderId="1" xfId="0" applyFont="1" applyFill="1" applyBorder="1"/>
    <xf numFmtId="2" fontId="3" fillId="0" borderId="1" xfId="0" applyNumberFormat="1" applyFont="1" applyFill="1" applyBorder="1"/>
    <xf numFmtId="4" fontId="3" fillId="0" borderId="1" xfId="0" applyNumberFormat="1" applyFont="1" applyFill="1" applyBorder="1"/>
    <xf numFmtId="164" fontId="4" fillId="0" borderId="1" xfId="0" applyNumberFormat="1" applyFont="1" applyFill="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0" fontId="0" fillId="0" borderId="1" xfId="0" applyBorder="1" applyAlignment="1">
      <alignment wrapText="1"/>
    </xf>
    <xf numFmtId="0" fontId="1" fillId="0" borderId="1" xfId="0" applyFont="1" applyBorder="1" applyAlignment="1"/>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0" fillId="0" borderId="1" xfId="0" applyNumberFormat="1" applyFill="1" applyBorder="1"/>
    <xf numFmtId="1" fontId="8" fillId="4" borderId="1" xfId="0" applyNumberFormat="1" applyFont="1" applyFill="1" applyBorder="1"/>
    <xf numFmtId="164" fontId="8" fillId="4" borderId="1" xfId="0" applyNumberFormat="1" applyFont="1" applyFill="1" applyBorder="1"/>
    <xf numFmtId="164" fontId="9" fillId="0" borderId="1" xfId="0" applyNumberFormat="1" applyFont="1" applyBorder="1"/>
    <xf numFmtId="0" fontId="0" fillId="0" borderId="0" xfId="0" applyFill="1"/>
    <xf numFmtId="0" fontId="0" fillId="5" borderId="1" xfId="0" applyFill="1" applyBorder="1"/>
    <xf numFmtId="0" fontId="1" fillId="5" borderId="1" xfId="0" applyFont="1" applyFill="1" applyBorder="1" applyAlignment="1">
      <alignment horizontal="center" wrapText="1"/>
    </xf>
    <xf numFmtId="168" fontId="0" fillId="5" borderId="1" xfId="0" applyNumberFormat="1" applyFill="1" applyBorder="1"/>
    <xf numFmtId="168" fontId="3" fillId="5" borderId="1" xfId="0" applyNumberFormat="1" applyFont="1" applyFill="1" applyBorder="1" applyAlignment="1">
      <alignment horizontal="center"/>
    </xf>
    <xf numFmtId="1" fontId="3" fillId="5" borderId="1" xfId="0" applyNumberFormat="1" applyFont="1" applyFill="1" applyBorder="1" applyAlignment="1">
      <alignment horizontal="center"/>
    </xf>
    <xf numFmtId="168" fontId="5" fillId="5" borderId="1" xfId="0" applyNumberFormat="1" applyFont="1" applyFill="1" applyBorder="1" applyAlignment="1">
      <alignment horizontal="center"/>
    </xf>
    <xf numFmtId="1" fontId="5" fillId="5" borderId="1" xfId="0" applyNumberFormat="1" applyFont="1" applyFill="1" applyBorder="1" applyAlignment="1">
      <alignment horizontal="center"/>
    </xf>
    <xf numFmtId="164" fontId="0" fillId="5" borderId="1" xfId="0" applyNumberFormat="1" applyFill="1" applyBorder="1"/>
    <xf numFmtId="168"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5" borderId="1" xfId="0" applyNumberFormat="1" applyFill="1" applyBorder="1"/>
    <xf numFmtId="4" fontId="3" fillId="5" borderId="1" xfId="0" applyNumberFormat="1" applyFont="1" applyFill="1" applyBorder="1" applyAlignment="1">
      <alignment horizontal="center"/>
    </xf>
    <xf numFmtId="164" fontId="5" fillId="5"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5" borderId="1" xfId="0" applyNumberFormat="1" applyFont="1" applyFill="1" applyBorder="1" applyAlignment="1">
      <alignment horizontal="center"/>
    </xf>
    <xf numFmtId="0" fontId="0" fillId="0" borderId="2" xfId="0" applyBorder="1"/>
    <xf numFmtId="9" fontId="5" fillId="5" borderId="1" xfId="0" applyNumberFormat="1" applyFont="1" applyFill="1" applyBorder="1" applyAlignment="1"/>
    <xf numFmtId="164" fontId="1" fillId="0" borderId="1" xfId="0" applyNumberFormat="1" applyFont="1" applyBorder="1"/>
    <xf numFmtId="0" fontId="0" fillId="0" borderId="0" xfId="0" applyAlignment="1"/>
    <xf numFmtId="9" fontId="1" fillId="0" borderId="1" xfId="0" applyNumberFormat="1" applyFont="1" applyBorder="1" applyAlignment="1">
      <alignment horizontal="center"/>
    </xf>
    <xf numFmtId="1" fontId="1" fillId="0" borderId="1" xfId="0" applyNumberFormat="1" applyFont="1" applyFill="1" applyBorder="1" applyAlignment="1">
      <alignment horizontal="center"/>
    </xf>
    <xf numFmtId="0" fontId="1" fillId="0" borderId="1" xfId="0" applyFont="1" applyBorder="1" applyAlignment="1">
      <alignment horizontal="center"/>
    </xf>
    <xf numFmtId="0" fontId="0" fillId="6" borderId="0" xfId="0" applyFill="1"/>
    <xf numFmtId="0" fontId="13" fillId="6" borderId="0" xfId="1" applyFill="1" applyAlignment="1" applyProtection="1"/>
    <xf numFmtId="0" fontId="2" fillId="0" borderId="0" xfId="0" applyFont="1" applyBorder="1" applyAlignment="1">
      <alignment vertical="center"/>
    </xf>
    <xf numFmtId="0" fontId="0" fillId="0" borderId="0" xfId="0" applyBorder="1" applyAlignment="1">
      <alignment wrapText="1"/>
    </xf>
    <xf numFmtId="0" fontId="2" fillId="0" borderId="1" xfId="0" applyFont="1" applyBorder="1" applyAlignment="1">
      <alignment wrapText="1"/>
    </xf>
    <xf numFmtId="0" fontId="1" fillId="6" borderId="1" xfId="0" applyFont="1" applyFill="1" applyBorder="1" applyAlignment="1">
      <alignment horizontal="center" vertical="center" wrapText="1"/>
    </xf>
    <xf numFmtId="0" fontId="14" fillId="0" borderId="0" xfId="0" applyFont="1" applyAlignment="1">
      <alignment wrapText="1"/>
    </xf>
    <xf numFmtId="0" fontId="0" fillId="0" borderId="0" xfId="0" applyBorder="1"/>
    <xf numFmtId="165" fontId="0" fillId="0" borderId="1" xfId="0" applyNumberFormat="1" applyFill="1" applyBorder="1"/>
    <xf numFmtId="165" fontId="8" fillId="4" borderId="1" xfId="0" applyNumberFormat="1" applyFont="1" applyFill="1" applyBorder="1"/>
    <xf numFmtId="0" fontId="2" fillId="0" borderId="1" xfId="0" applyFont="1" applyFill="1" applyBorder="1" applyAlignment="1">
      <alignment wrapText="1"/>
    </xf>
    <xf numFmtId="0" fontId="15" fillId="0" borderId="1" xfId="0" applyFont="1" applyBorder="1"/>
    <xf numFmtId="0" fontId="16" fillId="0" borderId="1" xfId="0" applyFont="1" applyBorder="1"/>
    <xf numFmtId="0" fontId="20" fillId="0" borderId="0" xfId="0" applyFont="1" applyBorder="1"/>
    <xf numFmtId="0" fontId="20" fillId="0" borderId="0" xfId="0" applyFont="1"/>
    <xf numFmtId="0" fontId="21" fillId="0" borderId="0" xfId="0" applyFont="1" applyBorder="1"/>
    <xf numFmtId="0" fontId="21" fillId="0" borderId="0" xfId="0" applyFont="1"/>
    <xf numFmtId="0" fontId="20" fillId="0" borderId="0" xfId="0" applyFont="1" applyFill="1" applyBorder="1"/>
    <xf numFmtId="0" fontId="6" fillId="0" borderId="0" xfId="0" applyFont="1" applyBorder="1"/>
    <xf numFmtId="0" fontId="6" fillId="0" borderId="0" xfId="0" applyFont="1"/>
    <xf numFmtId="164" fontId="5" fillId="0" borderId="1" xfId="0" applyNumberFormat="1" applyFont="1" applyBorder="1" applyAlignment="1">
      <alignment horizontal="center"/>
    </xf>
    <xf numFmtId="0" fontId="12" fillId="6" borderId="1" xfId="0" applyFont="1" applyFill="1" applyBorder="1" applyAlignment="1">
      <alignment horizontal="center" vertical="center" wrapText="1"/>
    </xf>
    <xf numFmtId="2" fontId="5" fillId="2" borderId="1" xfId="0" applyNumberFormat="1" applyFont="1" applyFill="1" applyBorder="1" applyAlignment="1">
      <alignment horizontal="center"/>
    </xf>
    <xf numFmtId="0" fontId="18" fillId="0" borderId="1" xfId="0" applyFont="1" applyBorder="1" applyAlignment="1" applyProtection="1">
      <alignment horizontal="center"/>
      <protection locked="0"/>
    </xf>
    <xf numFmtId="9" fontId="18" fillId="0" borderId="1" xfId="0" applyNumberFormat="1"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 fontId="18" fillId="0" borderId="1" xfId="0" applyNumberFormat="1" applyFont="1" applyFill="1" applyBorder="1" applyAlignment="1" applyProtection="1">
      <alignment horizontal="center"/>
      <protection locked="0"/>
    </xf>
    <xf numFmtId="0" fontId="5" fillId="0" borderId="1" xfId="0" applyFont="1" applyBorder="1" applyProtection="1">
      <protection locked="0"/>
    </xf>
    <xf numFmtId="2" fontId="5" fillId="0" borderId="1" xfId="0" applyNumberFormat="1" applyFont="1" applyFill="1" applyBorder="1" applyProtection="1">
      <protection locked="0"/>
    </xf>
    <xf numFmtId="0" fontId="5" fillId="0" borderId="1" xfId="0" applyFont="1" applyFill="1" applyBorder="1" applyProtection="1">
      <protection locked="0"/>
    </xf>
    <xf numFmtId="164" fontId="5" fillId="0" borderId="1" xfId="0" applyNumberFormat="1" applyFont="1" applyBorder="1" applyProtection="1">
      <protection locked="0"/>
    </xf>
    <xf numFmtId="164" fontId="5" fillId="0" borderId="1" xfId="0" applyNumberFormat="1" applyFont="1" applyFill="1" applyBorder="1" applyProtection="1">
      <protection locked="0"/>
    </xf>
    <xf numFmtId="164" fontId="5" fillId="5"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168" fontId="5" fillId="0" borderId="1" xfId="0" applyNumberFormat="1" applyFont="1" applyFill="1" applyBorder="1" applyProtection="1">
      <protection locked="0"/>
    </xf>
    <xf numFmtId="0" fontId="3" fillId="0" borderId="0" xfId="0" applyFont="1" applyFill="1"/>
    <xf numFmtId="164" fontId="1" fillId="0" borderId="1" xfId="0" applyNumberFormat="1" applyFont="1" applyBorder="1" applyAlignment="1">
      <alignment horizontal="center"/>
    </xf>
    <xf numFmtId="0" fontId="1" fillId="7" borderId="1" xfId="0" applyFont="1" applyFill="1" applyBorder="1" applyAlignment="1">
      <alignment horizontal="center" wrapText="1"/>
    </xf>
    <xf numFmtId="164" fontId="5" fillId="7" borderId="1" xfId="0" applyNumberFormat="1" applyFont="1" applyFill="1" applyBorder="1" applyAlignment="1">
      <alignment horizontal="center"/>
    </xf>
    <xf numFmtId="164" fontId="3" fillId="0" borderId="1" xfId="0" applyNumberFormat="1" applyFont="1" applyBorder="1"/>
    <xf numFmtId="166" fontId="1" fillId="0" borderId="1" xfId="0" applyNumberFormat="1" applyFont="1" applyBorder="1" applyProtection="1">
      <protection locked="0"/>
    </xf>
    <xf numFmtId="164" fontId="1" fillId="0" borderId="1" xfId="0" applyNumberFormat="1" applyFont="1" applyBorder="1" applyProtection="1">
      <protection locked="0"/>
    </xf>
    <xf numFmtId="0" fontId="1" fillId="0" borderId="1" xfId="0" applyFont="1" applyBorder="1" applyProtection="1">
      <protection locked="0"/>
    </xf>
    <xf numFmtId="0" fontId="27" fillId="0" borderId="0" xfId="0" applyFont="1" applyAlignment="1">
      <alignment horizontal="left" vertical="center" indent="2"/>
    </xf>
    <xf numFmtId="0" fontId="26" fillId="0" borderId="0" xfId="0" applyFont="1" applyAlignment="1">
      <alignment horizontal="left" vertical="center" indent="2"/>
    </xf>
    <xf numFmtId="0" fontId="0" fillId="0" borderId="18" xfId="0" applyBorder="1"/>
    <xf numFmtId="0" fontId="0" fillId="0" borderId="19" xfId="0" applyBorder="1"/>
    <xf numFmtId="0" fontId="1" fillId="0" borderId="18" xfId="0" applyFont="1" applyBorder="1" applyAlignment="1"/>
    <xf numFmtId="164" fontId="0" fillId="0" borderId="19" xfId="0" applyNumberFormat="1" applyBorder="1"/>
    <xf numFmtId="164" fontId="3" fillId="0" borderId="19" xfId="0" applyNumberFormat="1" applyFont="1" applyBorder="1"/>
    <xf numFmtId="164" fontId="9" fillId="0" borderId="19" xfId="0" applyNumberFormat="1" applyFont="1" applyBorder="1"/>
    <xf numFmtId="164" fontId="1" fillId="0" borderId="19" xfId="0" applyNumberFormat="1" applyFont="1" applyBorder="1"/>
    <xf numFmtId="0" fontId="1" fillId="0" borderId="18" xfId="0" applyFont="1" applyBorder="1"/>
    <xf numFmtId="164" fontId="0" fillId="5" borderId="19" xfId="0" applyNumberFormat="1" applyFill="1" applyBorder="1"/>
    <xf numFmtId="165" fontId="8" fillId="4" borderId="19" xfId="0" applyNumberFormat="1" applyFont="1" applyFill="1" applyBorder="1"/>
    <xf numFmtId="0" fontId="0" fillId="0" borderId="22" xfId="0" applyBorder="1"/>
    <xf numFmtId="0" fontId="0" fillId="0" borderId="23" xfId="0" applyBorder="1"/>
    <xf numFmtId="0" fontId="0" fillId="0" borderId="24" xfId="0" applyBorder="1"/>
    <xf numFmtId="0" fontId="0" fillId="0" borderId="0" xfId="0" applyAlignment="1">
      <alignment wrapText="1"/>
    </xf>
    <xf numFmtId="0" fontId="22" fillId="0" borderId="0" xfId="0" applyFont="1" applyAlignment="1">
      <alignment wrapText="1"/>
    </xf>
    <xf numFmtId="0" fontId="0" fillId="0" borderId="0" xfId="0" applyAlignment="1"/>
    <xf numFmtId="164" fontId="0" fillId="0" borderId="2" xfId="0" applyNumberFormat="1" applyBorder="1"/>
    <xf numFmtId="164" fontId="3" fillId="0" borderId="2" xfId="0" applyNumberFormat="1" applyFont="1" applyBorder="1"/>
    <xf numFmtId="164" fontId="9" fillId="0" borderId="2" xfId="0" applyNumberFormat="1" applyFont="1" applyBorder="1"/>
    <xf numFmtId="164" fontId="1" fillId="0" borderId="2" xfId="0" applyNumberFormat="1" applyFont="1" applyBorder="1"/>
    <xf numFmtId="164" fontId="0" fillId="5" borderId="2" xfId="0" applyNumberFormat="1" applyFill="1" applyBorder="1"/>
    <xf numFmtId="164" fontId="0" fillId="0" borderId="2" xfId="0" applyNumberFormat="1" applyFill="1" applyBorder="1"/>
    <xf numFmtId="165" fontId="8" fillId="4" borderId="2" xfId="0" applyNumberFormat="1" applyFont="1" applyFill="1" applyBorder="1"/>
    <xf numFmtId="0" fontId="0" fillId="0" borderId="26" xfId="0" applyBorder="1"/>
    <xf numFmtId="0" fontId="0" fillId="0" borderId="28" xfId="0" applyBorder="1"/>
    <xf numFmtId="0" fontId="5" fillId="0" borderId="28" xfId="0" applyFont="1" applyBorder="1" applyProtection="1">
      <protection locked="0"/>
    </xf>
    <xf numFmtId="2" fontId="5" fillId="0" borderId="28" xfId="0" applyNumberFormat="1" applyFont="1" applyFill="1" applyBorder="1" applyProtection="1">
      <protection locked="0"/>
    </xf>
    <xf numFmtId="0" fontId="5" fillId="0" borderId="28" xfId="0" applyFont="1" applyFill="1" applyBorder="1" applyProtection="1">
      <protection locked="0"/>
    </xf>
    <xf numFmtId="1" fontId="1" fillId="0" borderId="28" xfId="0" applyNumberFormat="1" applyFont="1" applyFill="1" applyBorder="1" applyProtection="1">
      <protection locked="0"/>
    </xf>
    <xf numFmtId="168" fontId="1" fillId="0" borderId="28" xfId="0" applyNumberFormat="1" applyFont="1" applyFill="1" applyBorder="1" applyProtection="1">
      <protection locked="0"/>
    </xf>
    <xf numFmtId="0" fontId="0" fillId="5" borderId="28" xfId="0" applyFill="1" applyBorder="1"/>
    <xf numFmtId="165" fontId="0" fillId="0" borderId="28" xfId="0" applyNumberFormat="1" applyFill="1" applyBorder="1"/>
    <xf numFmtId="0" fontId="0" fillId="0" borderId="29" xfId="0" applyBorder="1"/>
    <xf numFmtId="164" fontId="0" fillId="0" borderId="19" xfId="0" applyNumberFormat="1" applyFill="1" applyBorder="1"/>
    <xf numFmtId="0" fontId="3" fillId="0" borderId="1" xfId="0" applyFont="1" applyFill="1" applyBorder="1"/>
    <xf numFmtId="0" fontId="0" fillId="0" borderId="18" xfId="0" applyBorder="1"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168" fontId="0" fillId="0" borderId="0" xfId="0" applyNumberFormat="1" applyAlignment="1">
      <alignment horizontal="center"/>
    </xf>
    <xf numFmtId="164" fontId="0" fillId="0" borderId="0" xfId="0" applyNumberFormat="1" applyAlignment="1">
      <alignment horizontal="center"/>
    </xf>
    <xf numFmtId="0" fontId="3" fillId="0" borderId="15"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center" vertical="center"/>
    </xf>
    <xf numFmtId="1" fontId="0" fillId="0" borderId="18" xfId="0" applyNumberFormat="1" applyBorder="1" applyAlignment="1">
      <alignment horizontal="center" vertical="center"/>
    </xf>
    <xf numFmtId="165" fontId="3" fillId="0" borderId="19" xfId="0" applyNumberFormat="1" applyFont="1" applyBorder="1" applyAlignment="1">
      <alignment horizontal="center" vertical="center"/>
    </xf>
    <xf numFmtId="1" fontId="1" fillId="0" borderId="18" xfId="0" applyNumberFormat="1" applyFont="1" applyBorder="1" applyAlignment="1">
      <alignment horizontal="center" vertical="center"/>
    </xf>
    <xf numFmtId="165" fontId="1" fillId="0" borderId="19" xfId="0" applyNumberFormat="1" applyFont="1" applyBorder="1" applyAlignment="1">
      <alignment horizontal="center" vertical="center"/>
    </xf>
    <xf numFmtId="1" fontId="0" fillId="0" borderId="22" xfId="0" applyNumberFormat="1" applyBorder="1" applyAlignment="1">
      <alignment horizontal="center" vertical="center"/>
    </xf>
    <xf numFmtId="165" fontId="3" fillId="0" borderId="24" xfId="0" applyNumberFormat="1" applyFont="1" applyBorder="1" applyAlignment="1">
      <alignment horizontal="center" vertical="center"/>
    </xf>
    <xf numFmtId="0" fontId="12" fillId="6" borderId="0" xfId="0" applyFont="1" applyFill="1" applyBorder="1" applyAlignment="1">
      <alignment horizontal="center" vertical="center" wrapText="1"/>
    </xf>
    <xf numFmtId="0" fontId="23" fillId="0" borderId="0" xfId="0" applyFont="1" applyAlignment="1">
      <alignment wrapText="1"/>
    </xf>
    <xf numFmtId="0" fontId="0" fillId="0" borderId="0" xfId="0" applyAlignment="1">
      <alignment horizontal="center"/>
    </xf>
    <xf numFmtId="0" fontId="4" fillId="6" borderId="0" xfId="0" applyFont="1" applyFill="1" applyAlignment="1">
      <alignment horizontal="center"/>
    </xf>
    <xf numFmtId="0" fontId="4" fillId="0" borderId="0" xfId="0" applyFont="1" applyAlignment="1">
      <alignment horizontal="center"/>
    </xf>
    <xf numFmtId="0" fontId="12" fillId="0" borderId="2" xfId="0" applyFont="1" applyBorder="1" applyAlignment="1">
      <alignment horizontal="center"/>
    </xf>
    <xf numFmtId="0" fontId="12" fillId="0" borderId="4" xfId="0" applyFont="1" applyBorder="1" applyAlignment="1">
      <alignment horizontal="center"/>
    </xf>
    <xf numFmtId="0" fontId="0" fillId="0" borderId="3" xfId="0" applyBorder="1" applyAlignment="1"/>
    <xf numFmtId="0" fontId="16" fillId="0" borderId="2" xfId="0" applyFont="1" applyBorder="1" applyAlignment="1"/>
    <xf numFmtId="0" fontId="16" fillId="0" borderId="3" xfId="0" applyFont="1" applyBorder="1" applyAlignment="1"/>
    <xf numFmtId="0" fontId="17" fillId="0" borderId="2" xfId="0" applyFont="1" applyBorder="1" applyAlignment="1">
      <alignment horizontal="left"/>
    </xf>
    <xf numFmtId="0" fontId="19" fillId="0" borderId="0" xfId="0" applyFont="1" applyBorder="1" applyAlignment="1">
      <alignment horizontal="center"/>
    </xf>
    <xf numFmtId="0" fontId="15" fillId="0" borderId="2" xfId="0" applyFont="1" applyBorder="1" applyAlignment="1"/>
    <xf numFmtId="164" fontId="5" fillId="0" borderId="1" xfId="0" applyNumberFormat="1" applyFont="1" applyBorder="1" applyAlignment="1">
      <alignment horizontal="center"/>
    </xf>
    <xf numFmtId="0" fontId="9" fillId="0" borderId="0" xfId="0" applyFont="1" applyAlignment="1">
      <alignment wrapText="1"/>
    </xf>
    <xf numFmtId="164" fontId="5" fillId="0" borderId="1" xfId="0" applyNumberFormat="1" applyFont="1" applyBorder="1" applyAlignment="1"/>
    <xf numFmtId="164" fontId="5" fillId="0" borderId="2" xfId="0" applyNumberFormat="1" applyFont="1" applyBorder="1" applyAlignment="1"/>
    <xf numFmtId="164" fontId="5" fillId="0" borderId="3" xfId="0" applyNumberFormat="1" applyFont="1" applyBorder="1" applyAlignment="1"/>
    <xf numFmtId="0" fontId="0" fillId="0" borderId="0" xfId="0" applyAlignment="1">
      <alignment wrapText="1"/>
    </xf>
    <xf numFmtId="164" fontId="1" fillId="5" borderId="5" xfId="0" applyNumberFormat="1" applyFont="1" applyFill="1" applyBorder="1" applyAlignment="1">
      <alignment horizontal="center" wrapText="1"/>
    </xf>
    <xf numFmtId="164" fontId="1" fillId="5" borderId="6" xfId="0" applyNumberFormat="1" applyFont="1" applyFill="1" applyBorder="1" applyAlignment="1">
      <alignment horizontal="center" wrapText="1"/>
    </xf>
    <xf numFmtId="0" fontId="3" fillId="5" borderId="7" xfId="0" applyFont="1" applyFill="1" applyBorder="1" applyAlignment="1">
      <alignment horizontal="center" wrapText="1"/>
    </xf>
    <xf numFmtId="0" fontId="3" fillId="5" borderId="8" xfId="0" applyFont="1" applyFill="1" applyBorder="1" applyAlignment="1">
      <alignment horizontal="center" wrapText="1"/>
    </xf>
    <xf numFmtId="0" fontId="1" fillId="3" borderId="2" xfId="0" applyFont="1" applyFill="1" applyBorder="1" applyAlignment="1"/>
    <xf numFmtId="0" fontId="0" fillId="0" borderId="4" xfId="0" applyBorder="1" applyAlignment="1"/>
    <xf numFmtId="0" fontId="1" fillId="3" borderId="21" xfId="0" applyFont="1" applyFill="1" applyBorder="1" applyAlignment="1"/>
    <xf numFmtId="164" fontId="1" fillId="0" borderId="1" xfId="0" applyNumberFormat="1" applyFont="1" applyBorder="1" applyAlignment="1">
      <alignment horizontal="center"/>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9" xfId="0" applyFont="1" applyBorder="1" applyAlignment="1">
      <alignment horizontal="center" vertical="center"/>
    </xf>
    <xf numFmtId="0" fontId="0" fillId="0" borderId="35" xfId="0" applyBorder="1" applyAlignment="1">
      <alignment horizontal="center" vertical="center"/>
    </xf>
    <xf numFmtId="0" fontId="30" fillId="0" borderId="36" xfId="0" applyFont="1" applyBorder="1" applyAlignment="1">
      <alignment vertical="center"/>
    </xf>
    <xf numFmtId="0" fontId="30" fillId="0" borderId="41" xfId="0" applyFont="1" applyBorder="1" applyAlignment="1">
      <alignment vertical="center"/>
    </xf>
    <xf numFmtId="0" fontId="30" fillId="0" borderId="37" xfId="0" applyFont="1" applyBorder="1" applyAlignment="1">
      <alignment vertical="center"/>
    </xf>
    <xf numFmtId="0" fontId="7" fillId="3" borderId="27"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7" fillId="3" borderId="15" xfId="0" applyFont="1" applyFill="1" applyBorder="1" applyAlignment="1">
      <alignment horizontal="center"/>
    </xf>
    <xf numFmtId="0" fontId="0" fillId="3" borderId="25" xfId="0" applyFill="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xf numFmtId="0" fontId="22" fillId="0" borderId="0" xfId="0" applyFont="1" applyAlignment="1">
      <alignment wrapText="1"/>
    </xf>
    <xf numFmtId="0" fontId="0" fillId="0" borderId="0" xfId="0" applyAlignment="1"/>
    <xf numFmtId="0" fontId="3" fillId="0" borderId="0" xfId="0" applyFont="1" applyAlignment="1">
      <alignment wrapText="1"/>
    </xf>
    <xf numFmtId="1" fontId="0" fillId="0" borderId="9" xfId="0" applyNumberFormat="1" applyBorder="1" applyAlignment="1">
      <alignment horizontal="center" vertical="center"/>
    </xf>
    <xf numFmtId="0" fontId="0" fillId="0" borderId="10" xfId="0" applyBorder="1" applyAlignment="1">
      <alignment horizontal="center" vertical="center"/>
    </xf>
    <xf numFmtId="0" fontId="0" fillId="0" borderId="42" xfId="0" applyBorder="1" applyAlignment="1">
      <alignment horizontal="center" vertical="center"/>
    </xf>
    <xf numFmtId="0" fontId="5" fillId="0" borderId="2" xfId="0" applyFont="1" applyFill="1" applyBorder="1" applyAlignment="1" applyProtection="1">
      <alignment horizontal="right" indent="1"/>
      <protection locked="0"/>
    </xf>
    <xf numFmtId="0" fontId="0" fillId="0" borderId="3" xfId="0" applyBorder="1" applyAlignment="1" applyProtection="1">
      <alignment horizontal="right" indent="1"/>
      <protection locked="0"/>
    </xf>
    <xf numFmtId="0" fontId="5" fillId="0" borderId="30" xfId="0" applyFont="1" applyFill="1" applyBorder="1" applyAlignment="1" applyProtection="1">
      <alignment horizontal="right" indent="1"/>
      <protection locked="0"/>
    </xf>
    <xf numFmtId="0" fontId="3" fillId="0" borderId="2" xfId="0" applyFont="1" applyBorder="1" applyAlignment="1">
      <alignment horizontal="left" indent="1"/>
    </xf>
    <xf numFmtId="0" fontId="0" fillId="0" borderId="4" xfId="0" applyBorder="1" applyAlignment="1">
      <alignment horizontal="left" indent="1"/>
    </xf>
    <xf numFmtId="0" fontId="0" fillId="0" borderId="31" xfId="0" applyBorder="1" applyAlignment="1">
      <alignment horizontal="left" indent="1"/>
    </xf>
    <xf numFmtId="0" fontId="0" fillId="0" borderId="20" xfId="0" applyBorder="1" applyAlignment="1">
      <alignment horizontal="left" indent="1"/>
    </xf>
    <xf numFmtId="164" fontId="5" fillId="0" borderId="23" xfId="0" applyNumberFormat="1" applyFont="1" applyBorder="1" applyAlignment="1"/>
    <xf numFmtId="164" fontId="1" fillId="5" borderId="9" xfId="0" applyNumberFormat="1" applyFont="1" applyFill="1" applyBorder="1" applyAlignment="1">
      <alignment horizontal="center" wrapText="1"/>
    </xf>
    <xf numFmtId="0" fontId="0" fillId="5" borderId="10" xfId="0" applyFill="1" applyBorder="1" applyAlignment="1">
      <alignment horizontal="center"/>
    </xf>
    <xf numFmtId="164" fontId="5" fillId="5" borderId="9" xfId="0" applyNumberFormat="1"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protection locked="0"/>
    </xf>
    <xf numFmtId="0" fontId="3" fillId="0" borderId="2" xfId="0" applyFont="1" applyBorder="1" applyAlignment="1"/>
    <xf numFmtId="0" fontId="0" fillId="5" borderId="2" xfId="0" applyFill="1" applyBorder="1" applyAlignment="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2" fillId="0" borderId="2" xfId="0" applyFont="1" applyBorder="1" applyAlignment="1">
      <alignment horizontal="left"/>
    </xf>
    <xf numFmtId="0" fontId="3" fillId="0" borderId="5" xfId="0" applyFont="1" applyBorder="1" applyAlignment="1">
      <alignment vertical="center" wrapText="1"/>
    </xf>
    <xf numFmtId="0" fontId="0" fillId="0" borderId="11" xfId="0" applyBorder="1" applyAlignment="1"/>
    <xf numFmtId="0" fontId="0" fillId="0" borderId="6" xfId="0" applyBorder="1" applyAlignment="1"/>
    <xf numFmtId="0" fontId="0" fillId="0" borderId="12" xfId="0" applyBorder="1" applyAlignment="1"/>
    <xf numFmtId="0" fontId="0" fillId="0" borderId="13" xfId="0" applyBorder="1" applyAlignment="1"/>
    <xf numFmtId="0" fontId="0" fillId="0" borderId="7" xfId="0" applyBorder="1" applyAlignment="1"/>
    <xf numFmtId="0" fontId="0" fillId="0" borderId="14" xfId="0" applyBorder="1" applyAlignment="1"/>
    <xf numFmtId="0" fontId="0" fillId="0" borderId="8" xfId="0" applyBorder="1" applyAlignment="1"/>
    <xf numFmtId="0" fontId="0" fillId="2" borderId="2" xfId="0" applyFill="1" applyBorder="1" applyAlignment="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4" fillId="3" borderId="2" xfId="0" quotePrefix="1" applyFont="1" applyFill="1" applyBorder="1" applyAlignment="1">
      <alignment horizontal="right" indent="1"/>
    </xf>
    <xf numFmtId="0" fontId="0" fillId="0" borderId="3" xfId="0" applyBorder="1" applyAlignment="1">
      <alignment horizontal="right" indent="1"/>
    </xf>
    <xf numFmtId="0" fontId="1" fillId="3" borderId="2" xfId="0" applyFont="1" applyFill="1" applyBorder="1" applyAlignment="1">
      <alignment horizontal="left" indent="1"/>
    </xf>
    <xf numFmtId="0" fontId="0" fillId="0" borderId="3" xfId="0" applyBorder="1" applyAlignment="1">
      <alignment horizontal="left" indent="1"/>
    </xf>
    <xf numFmtId="0" fontId="7" fillId="3" borderId="1" xfId="0" applyFont="1" applyFill="1" applyBorder="1" applyAlignment="1">
      <alignment horizontal="center"/>
    </xf>
    <xf numFmtId="0" fontId="0" fillId="3"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164" fontId="1" fillId="0" borderId="1" xfId="0" applyNumberFormat="1" applyFont="1" applyBorder="1" applyAlignment="1"/>
    <xf numFmtId="0" fontId="0" fillId="0" borderId="11" xfId="0" applyBorder="1" applyAlignment="1">
      <alignment wrapText="1"/>
    </xf>
    <xf numFmtId="0" fontId="0" fillId="3" borderId="2" xfId="0"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3</xdr:row>
      <xdr:rowOff>95250</xdr:rowOff>
    </xdr:from>
    <xdr:to>
      <xdr:col>7</xdr:col>
      <xdr:colOff>523875</xdr:colOff>
      <xdr:row>6</xdr:row>
      <xdr:rowOff>114300</xdr:rowOff>
    </xdr:to>
    <xdr:pic>
      <xdr:nvPicPr>
        <xdr:cNvPr id="5126" name="Picture 1" descr="AgEcon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0" y="695325"/>
          <a:ext cx="2428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jordan.shockley@uky.edu" TargetMode="External"/><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showGridLines="0" zoomScale="130" workbookViewId="0">
      <selection activeCell="N5" sqref="N5"/>
    </sheetView>
  </sheetViews>
  <sheetFormatPr defaultRowHeight="12.75" x14ac:dyDescent="0.2"/>
  <cols>
    <col min="1" max="1" width="2.5703125" customWidth="1"/>
    <col min="4" max="4" width="7.42578125" customWidth="1"/>
    <col min="10" max="10" width="14.7109375" customWidth="1"/>
  </cols>
  <sheetData>
    <row r="1" spans="2:11" ht="13.15" customHeight="1" x14ac:dyDescent="0.2"/>
    <row r="2" spans="2:11" ht="21.75" customHeight="1" x14ac:dyDescent="0.25">
      <c r="B2" s="162" t="s">
        <v>210</v>
      </c>
      <c r="C2" s="163"/>
      <c r="D2" s="163"/>
      <c r="E2" s="163"/>
      <c r="F2" s="163"/>
      <c r="G2" s="163"/>
      <c r="H2" s="163"/>
      <c r="I2" s="163"/>
      <c r="J2" s="163"/>
      <c r="K2" s="163"/>
    </row>
    <row r="8" spans="2:11" x14ac:dyDescent="0.2">
      <c r="B8" s="164"/>
      <c r="C8" s="164"/>
      <c r="D8" s="164"/>
      <c r="E8" s="164"/>
      <c r="F8" s="164"/>
      <c r="G8" s="164"/>
      <c r="H8" s="164"/>
      <c r="I8" s="164"/>
      <c r="J8" s="164"/>
      <c r="K8" s="164"/>
    </row>
    <row r="9" spans="2:11" x14ac:dyDescent="0.2">
      <c r="C9" s="61"/>
      <c r="D9" s="165" t="s">
        <v>144</v>
      </c>
      <c r="E9" s="165"/>
      <c r="F9" s="165"/>
      <c r="G9" s="165"/>
      <c r="H9" s="165"/>
      <c r="I9" s="165"/>
      <c r="J9" s="61"/>
    </row>
    <row r="10" spans="2:11" x14ac:dyDescent="0.2">
      <c r="C10" s="61"/>
      <c r="D10" s="61"/>
      <c r="E10" s="61" t="s">
        <v>145</v>
      </c>
      <c r="F10" s="62"/>
      <c r="G10" s="62"/>
      <c r="H10" s="61" t="s">
        <v>231</v>
      </c>
      <c r="I10" s="61"/>
      <c r="J10" s="61"/>
    </row>
    <row r="11" spans="2:11" x14ac:dyDescent="0.2">
      <c r="C11" s="61"/>
      <c r="D11" s="61"/>
      <c r="E11" s="61" t="s">
        <v>196</v>
      </c>
      <c r="F11" s="62"/>
      <c r="G11" s="62"/>
      <c r="H11" s="61" t="s">
        <v>232</v>
      </c>
      <c r="I11" s="61"/>
      <c r="J11" s="61"/>
    </row>
    <row r="12" spans="2:11" x14ac:dyDescent="0.2">
      <c r="C12" s="61"/>
      <c r="D12" s="62"/>
      <c r="E12" s="62" t="s">
        <v>146</v>
      </c>
      <c r="F12" s="62"/>
      <c r="G12" s="61"/>
      <c r="H12" s="62" t="s">
        <v>233</v>
      </c>
      <c r="I12" s="61"/>
      <c r="J12" s="61"/>
    </row>
    <row r="13" spans="2:11" x14ac:dyDescent="0.2">
      <c r="C13" s="61"/>
      <c r="D13" s="61"/>
      <c r="E13" s="61" t="s">
        <v>147</v>
      </c>
      <c r="F13" s="62"/>
      <c r="G13" s="61"/>
      <c r="H13" s="61" t="s">
        <v>234</v>
      </c>
      <c r="I13" s="61"/>
      <c r="J13" s="61"/>
    </row>
    <row r="14" spans="2:11" x14ac:dyDescent="0.2">
      <c r="D14" s="36"/>
      <c r="E14" s="36"/>
      <c r="F14" s="36"/>
      <c r="G14" s="36"/>
      <c r="H14" s="36"/>
      <c r="I14" s="36"/>
      <c r="J14" s="36"/>
      <c r="K14" s="36"/>
    </row>
    <row r="15" spans="2:11" x14ac:dyDescent="0.2">
      <c r="C15" s="36" t="s">
        <v>149</v>
      </c>
      <c r="D15" s="36"/>
      <c r="E15" s="36"/>
      <c r="F15" s="36"/>
      <c r="G15" s="36"/>
      <c r="H15" s="36"/>
      <c r="I15" s="36"/>
      <c r="J15" s="36"/>
      <c r="K15" s="36"/>
    </row>
    <row r="16" spans="2:11" x14ac:dyDescent="0.2">
      <c r="C16" s="98" t="s">
        <v>236</v>
      </c>
      <c r="D16" s="36"/>
      <c r="E16" s="36"/>
      <c r="F16" s="36"/>
      <c r="G16" s="36"/>
      <c r="H16" s="36"/>
      <c r="I16" s="36"/>
      <c r="J16" s="36"/>
      <c r="K16" s="36"/>
    </row>
    <row r="17" spans="2:13" x14ac:dyDescent="0.2">
      <c r="C17" s="36" t="s">
        <v>150</v>
      </c>
      <c r="D17" s="36"/>
      <c r="E17" s="36"/>
      <c r="F17" s="36"/>
      <c r="G17" s="36"/>
      <c r="H17" s="36"/>
      <c r="I17" s="36"/>
      <c r="J17" s="36"/>
      <c r="K17" s="36"/>
    </row>
    <row r="18" spans="2:13" x14ac:dyDescent="0.2">
      <c r="D18" s="36"/>
      <c r="E18" s="36"/>
      <c r="F18" s="36"/>
      <c r="G18" s="36"/>
      <c r="H18" s="36"/>
      <c r="I18" s="36"/>
      <c r="J18" s="36"/>
      <c r="K18" s="36"/>
    </row>
    <row r="19" spans="2:13" x14ac:dyDescent="0.2">
      <c r="D19" s="36"/>
      <c r="E19" s="36"/>
      <c r="F19" s="36"/>
      <c r="G19" s="36"/>
      <c r="H19" s="36"/>
      <c r="I19" s="36"/>
      <c r="J19" s="36"/>
      <c r="K19" s="36"/>
    </row>
    <row r="20" spans="2:13" s="11" customFormat="1" x14ac:dyDescent="0.2">
      <c r="B20" s="166" t="s">
        <v>235</v>
      </c>
      <c r="C20" s="166"/>
      <c r="D20" s="166"/>
      <c r="E20" s="166"/>
      <c r="F20" s="166"/>
      <c r="G20" s="166"/>
      <c r="H20" s="166"/>
      <c r="I20" s="166"/>
      <c r="J20" s="166"/>
      <c r="K20" s="166"/>
    </row>
    <row r="21" spans="2:13" x14ac:dyDescent="0.2">
      <c r="C21" s="63"/>
      <c r="D21" s="57"/>
      <c r="E21" s="57"/>
      <c r="F21" s="57"/>
      <c r="G21" s="57"/>
      <c r="H21" s="57"/>
      <c r="I21" s="57"/>
      <c r="J21" s="57"/>
      <c r="K21" s="57"/>
      <c r="L21" s="57"/>
      <c r="M21" s="57"/>
    </row>
    <row r="22" spans="2:13" x14ac:dyDescent="0.2">
      <c r="C22" s="57"/>
      <c r="D22" s="57"/>
      <c r="E22" s="57"/>
      <c r="F22" s="57"/>
      <c r="G22" s="57"/>
      <c r="H22" s="57"/>
      <c r="I22" s="57"/>
      <c r="J22" s="57"/>
      <c r="K22" s="57"/>
      <c r="L22" s="57"/>
      <c r="M22" s="57"/>
    </row>
  </sheetData>
  <sheetProtection algorithmName="SHA-512" hashValue="9sYJPOprDMA16XUivCuX4cM1kVnCoUBxkaRsGJZG/xGhP85zUlZFFImTNHeVPOYwuV+rebnQ1lDBcEC7yegs9A==" saltValue="akIsqGqk38z1R4wPvnxf6A==" spinCount="100000" sheet="1" objects="1" scenarios="1" formatCells="0" formatColumns="0" formatRows="0"/>
  <mergeCells count="4">
    <mergeCell ref="B2:K2"/>
    <mergeCell ref="B8:K8"/>
    <mergeCell ref="D9:I9"/>
    <mergeCell ref="B20:K20"/>
  </mergeCells>
  <phoneticPr fontId="6" type="noConversion"/>
  <hyperlinks>
    <hyperlink ref="E12" r:id="rId1"/>
    <hyperlink ref="H12" r:id="rId2"/>
  </hyperlinks>
  <pageMargins left="0.75" right="0.75" top="1" bottom="1" header="0.5" footer="0.5"/>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2" sqref="A22"/>
    </sheetView>
  </sheetViews>
  <sheetFormatPr defaultRowHeight="12.75" x14ac:dyDescent="0.2"/>
  <cols>
    <col min="1" max="1" width="13.5703125" customWidth="1"/>
  </cols>
  <sheetData>
    <row r="2" spans="1:1" ht="20.25" x14ac:dyDescent="0.3">
      <c r="A2" s="25" t="s">
        <v>56</v>
      </c>
    </row>
    <row r="3" spans="1:1" x14ac:dyDescent="0.2">
      <c r="A3" s="22"/>
    </row>
    <row r="4" spans="1:1" x14ac:dyDescent="0.2">
      <c r="A4" s="22" t="s">
        <v>94</v>
      </c>
    </row>
    <row r="5" spans="1:1" x14ac:dyDescent="0.2">
      <c r="A5" s="22"/>
    </row>
    <row r="6" spans="1:1" x14ac:dyDescent="0.2">
      <c r="A6" s="22" t="s">
        <v>88</v>
      </c>
    </row>
    <row r="7" spans="1:1" x14ac:dyDescent="0.2">
      <c r="A7" s="22"/>
    </row>
    <row r="8" spans="1:1" x14ac:dyDescent="0.2">
      <c r="A8" s="22" t="s">
        <v>106</v>
      </c>
    </row>
    <row r="9" spans="1:1" x14ac:dyDescent="0.2">
      <c r="A9" s="22"/>
    </row>
    <row r="10" spans="1:1" x14ac:dyDescent="0.2">
      <c r="A10" s="22"/>
    </row>
    <row r="11" spans="1:1" x14ac:dyDescent="0.2">
      <c r="A11" s="22"/>
    </row>
    <row r="12" spans="1:1" ht="20.25" x14ac:dyDescent="0.3">
      <c r="A12" s="25" t="s">
        <v>82</v>
      </c>
    </row>
    <row r="15" spans="1:1" x14ac:dyDescent="0.2">
      <c r="A15" s="22" t="s">
        <v>103</v>
      </c>
    </row>
    <row r="16" spans="1:1" x14ac:dyDescent="0.2">
      <c r="A16" s="22" t="s">
        <v>104</v>
      </c>
    </row>
    <row r="17" spans="1:2" x14ac:dyDescent="0.2">
      <c r="A17" s="22" t="s">
        <v>105</v>
      </c>
    </row>
    <row r="18" spans="1:2" x14ac:dyDescent="0.2">
      <c r="B18" s="2"/>
    </row>
    <row r="19" spans="1:2" x14ac:dyDescent="0.2">
      <c r="A19" s="22" t="s">
        <v>127</v>
      </c>
    </row>
    <row r="20" spans="1:2" x14ac:dyDescent="0.2">
      <c r="B20" s="2"/>
    </row>
    <row r="21" spans="1:2" x14ac:dyDescent="0.2">
      <c r="A21" s="22" t="s">
        <v>156</v>
      </c>
      <c r="B21" s="2"/>
    </row>
    <row r="22" spans="1:2" x14ac:dyDescent="0.2">
      <c r="B22" s="2"/>
    </row>
    <row r="23" spans="1:2" x14ac:dyDescent="0.2">
      <c r="B23" s="2"/>
    </row>
    <row r="24" spans="1:2" x14ac:dyDescent="0.2">
      <c r="B24" s="2"/>
    </row>
  </sheetData>
  <phoneticPr fontId="6"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3"/>
  <sheetViews>
    <sheetView workbookViewId="0">
      <selection activeCell="K14" sqref="K14"/>
    </sheetView>
  </sheetViews>
  <sheetFormatPr defaultRowHeight="12.75" x14ac:dyDescent="0.2"/>
  <sheetData>
    <row r="3" spans="1:1" ht="15.75" x14ac:dyDescent="0.2">
      <c r="A3" s="106" t="s">
        <v>202</v>
      </c>
    </row>
    <row r="4" spans="1:1" ht="15.75" x14ac:dyDescent="0.2">
      <c r="A4" s="106" t="s">
        <v>203</v>
      </c>
    </row>
    <row r="5" spans="1:1" ht="15.75" x14ac:dyDescent="0.2">
      <c r="A5" s="106" t="s">
        <v>204</v>
      </c>
    </row>
    <row r="6" spans="1:1" ht="15.75" x14ac:dyDescent="0.2">
      <c r="A6" s="106" t="s">
        <v>205</v>
      </c>
    </row>
    <row r="7" spans="1:1" ht="15.75" x14ac:dyDescent="0.2">
      <c r="A7" s="106" t="s">
        <v>206</v>
      </c>
    </row>
    <row r="10" spans="1:1" ht="15.75" x14ac:dyDescent="0.2">
      <c r="A10" s="107" t="s">
        <v>207</v>
      </c>
    </row>
    <row r="11" spans="1:1" ht="15.75" x14ac:dyDescent="0.2">
      <c r="A11" s="107" t="s">
        <v>208</v>
      </c>
    </row>
    <row r="13" spans="1:1" ht="15.75" x14ac:dyDescent="0.2">
      <c r="A13" s="107"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showGridLines="0" zoomScale="122" workbookViewId="0">
      <selection activeCell="B2" sqref="B2"/>
    </sheetView>
  </sheetViews>
  <sheetFormatPr defaultRowHeight="12.75" x14ac:dyDescent="0.2"/>
  <cols>
    <col min="1" max="1" width="2.28515625" customWidth="1"/>
    <col min="2" max="2" width="107.42578125" style="26" customWidth="1"/>
  </cols>
  <sheetData>
    <row r="1" spans="2:2" ht="10.15" customHeight="1" x14ac:dyDescent="0.2">
      <c r="B1" s="64"/>
    </row>
    <row r="2" spans="2:2" ht="28.9" customHeight="1" x14ac:dyDescent="0.2">
      <c r="B2" s="82" t="s">
        <v>210</v>
      </c>
    </row>
    <row r="3" spans="2:2" ht="16.899999999999999" customHeight="1" x14ac:dyDescent="0.2">
      <c r="B3" s="65" t="s">
        <v>211</v>
      </c>
    </row>
    <row r="4" spans="2:2" ht="17.45" customHeight="1" x14ac:dyDescent="0.2">
      <c r="B4" s="66" t="s">
        <v>148</v>
      </c>
    </row>
    <row r="5" spans="2:2" ht="83.45" customHeight="1" x14ac:dyDescent="0.2">
      <c r="B5" s="71" t="s">
        <v>213</v>
      </c>
    </row>
    <row r="6" spans="2:2" ht="69.75" customHeight="1" x14ac:dyDescent="0.2">
      <c r="B6" s="65" t="s">
        <v>212</v>
      </c>
    </row>
    <row r="7" spans="2:2" x14ac:dyDescent="0.2">
      <c r="B7" s="67"/>
    </row>
  </sheetData>
  <sheetProtection algorithmName="SHA-512" hashValue="MSA6wC1jRZ5w4YQ2JnkUdYFfCIDB3H47h2hPQtbz/zBSCi4mtZMwVKlNZ7DehVBAWPWHZMaJ3qtGmpDTctloqg==" saltValue="MxmNY9B+dXL3HdM/XXAIRg=="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showGridLines="0" workbookViewId="0">
      <selection activeCell="C6" sqref="C6"/>
    </sheetView>
  </sheetViews>
  <sheetFormatPr defaultRowHeight="12.75" x14ac:dyDescent="0.2"/>
  <cols>
    <col min="1" max="1" width="2.28515625" customWidth="1"/>
    <col min="2" max="2" width="42.7109375" customWidth="1"/>
    <col min="3" max="3" width="10.5703125" customWidth="1"/>
    <col min="4" max="4" width="4" customWidth="1"/>
    <col min="5" max="5" width="50.5703125" customWidth="1"/>
    <col min="6" max="6" width="45.5703125" customWidth="1"/>
  </cols>
  <sheetData>
    <row r="2" spans="2:6" ht="18" x14ac:dyDescent="0.25">
      <c r="B2" s="167" t="s">
        <v>152</v>
      </c>
      <c r="C2" s="168"/>
      <c r="D2" s="168"/>
      <c r="E2" s="168"/>
      <c r="F2" s="169"/>
    </row>
    <row r="3" spans="2:6" ht="15.75" x14ac:dyDescent="0.25">
      <c r="B3" s="73"/>
      <c r="C3" s="73"/>
      <c r="D3" s="73"/>
      <c r="E3" s="172" t="s">
        <v>140</v>
      </c>
      <c r="F3" s="171"/>
    </row>
    <row r="4" spans="2:6" ht="15.75" x14ac:dyDescent="0.25">
      <c r="B4" s="73" t="s">
        <v>139</v>
      </c>
      <c r="C4" s="84" t="s">
        <v>89</v>
      </c>
      <c r="D4" s="73"/>
      <c r="E4" s="170" t="s">
        <v>137</v>
      </c>
      <c r="F4" s="171"/>
    </row>
    <row r="5" spans="2:6" ht="15.75" x14ac:dyDescent="0.25">
      <c r="B5" s="73" t="s">
        <v>138</v>
      </c>
      <c r="C5" s="85">
        <v>0.2</v>
      </c>
      <c r="D5" s="73"/>
      <c r="E5" s="170" t="s">
        <v>136</v>
      </c>
      <c r="F5" s="171"/>
    </row>
    <row r="6" spans="2:6" ht="15.75" x14ac:dyDescent="0.25">
      <c r="B6" s="73" t="s">
        <v>189</v>
      </c>
      <c r="C6" s="86">
        <v>2</v>
      </c>
      <c r="D6" s="73"/>
      <c r="E6" s="170" t="s">
        <v>109</v>
      </c>
      <c r="F6" s="171"/>
    </row>
    <row r="7" spans="2:6" ht="15.75" x14ac:dyDescent="0.25">
      <c r="B7" s="73" t="s">
        <v>190</v>
      </c>
      <c r="C7" s="86">
        <v>12.5</v>
      </c>
      <c r="D7" s="73"/>
      <c r="E7" s="170" t="s">
        <v>111</v>
      </c>
      <c r="F7" s="171"/>
    </row>
    <row r="8" spans="2:6" ht="15.75" x14ac:dyDescent="0.25">
      <c r="B8" s="73" t="s">
        <v>135</v>
      </c>
      <c r="C8" s="86" t="s">
        <v>59</v>
      </c>
      <c r="D8" s="73"/>
      <c r="E8" s="170" t="s">
        <v>151</v>
      </c>
      <c r="F8" s="171"/>
    </row>
    <row r="9" spans="2:6" ht="15.75" x14ac:dyDescent="0.25">
      <c r="B9" s="73" t="s">
        <v>191</v>
      </c>
      <c r="C9" s="86">
        <v>12.5</v>
      </c>
      <c r="D9" s="73"/>
      <c r="E9" s="170" t="s">
        <v>110</v>
      </c>
      <c r="F9" s="171"/>
    </row>
    <row r="10" spans="2:6" ht="15.75" x14ac:dyDescent="0.25">
      <c r="B10" s="73" t="s">
        <v>79</v>
      </c>
      <c r="C10" s="85">
        <v>0</v>
      </c>
      <c r="D10" s="73"/>
      <c r="E10" s="170" t="s">
        <v>118</v>
      </c>
      <c r="F10" s="171"/>
    </row>
    <row r="11" spans="2:6" ht="15.75" hidden="1" x14ac:dyDescent="0.25">
      <c r="B11" s="73" t="s">
        <v>114</v>
      </c>
      <c r="C11" s="87">
        <v>25</v>
      </c>
      <c r="D11" s="73"/>
      <c r="E11" s="170" t="s">
        <v>130</v>
      </c>
      <c r="F11" s="171"/>
    </row>
    <row r="12" spans="2:6" ht="14.25" x14ac:dyDescent="0.2">
      <c r="B12" s="72"/>
      <c r="C12" s="72"/>
      <c r="D12" s="72"/>
      <c r="E12" s="174"/>
      <c r="F12" s="169"/>
    </row>
    <row r="13" spans="2:6" x14ac:dyDescent="0.2">
      <c r="B13" s="68"/>
      <c r="C13" s="68"/>
      <c r="D13" s="68"/>
      <c r="E13" s="68"/>
    </row>
    <row r="14" spans="2:6" ht="15.75" x14ac:dyDescent="0.25">
      <c r="B14" s="173" t="s">
        <v>168</v>
      </c>
      <c r="C14" s="164"/>
      <c r="D14" s="164"/>
      <c r="E14" s="164"/>
      <c r="F14" s="164"/>
    </row>
    <row r="15" spans="2:6" s="80" customFormat="1" ht="11.25" x14ac:dyDescent="0.2">
      <c r="B15" s="79"/>
      <c r="C15" s="79"/>
      <c r="D15" s="79"/>
      <c r="E15" s="79"/>
    </row>
    <row r="16" spans="2:6" ht="15" x14ac:dyDescent="0.2">
      <c r="B16" s="76" t="s">
        <v>158</v>
      </c>
      <c r="C16" s="74"/>
      <c r="D16" s="74"/>
      <c r="E16" s="76" t="s">
        <v>214</v>
      </c>
      <c r="F16" s="77"/>
    </row>
    <row r="17" spans="2:6" ht="15" x14ac:dyDescent="0.2">
      <c r="B17" s="74" t="s">
        <v>159</v>
      </c>
      <c r="C17" s="74"/>
      <c r="D17" s="74"/>
      <c r="E17" s="74" t="s">
        <v>159</v>
      </c>
      <c r="F17" s="74"/>
    </row>
    <row r="18" spans="2:6" ht="15" x14ac:dyDescent="0.2">
      <c r="B18" s="74" t="s">
        <v>160</v>
      </c>
      <c r="C18" s="74"/>
      <c r="D18" s="74"/>
      <c r="E18" s="74" t="s">
        <v>160</v>
      </c>
      <c r="F18" s="75"/>
    </row>
    <row r="19" spans="2:6" ht="15" x14ac:dyDescent="0.2">
      <c r="B19" s="78" t="s">
        <v>161</v>
      </c>
      <c r="C19" s="74"/>
      <c r="D19" s="74"/>
      <c r="E19" s="78" t="s">
        <v>161</v>
      </c>
      <c r="F19" s="75"/>
    </row>
    <row r="20" spans="2:6" ht="15" x14ac:dyDescent="0.2">
      <c r="B20" s="74" t="s">
        <v>162</v>
      </c>
      <c r="C20" s="74"/>
      <c r="D20" s="74"/>
      <c r="E20" s="74" t="s">
        <v>162</v>
      </c>
      <c r="F20" s="75"/>
    </row>
    <row r="21" spans="2:6" ht="15" x14ac:dyDescent="0.2">
      <c r="B21" s="74" t="s">
        <v>163</v>
      </c>
      <c r="C21" s="74"/>
      <c r="D21" s="74"/>
      <c r="E21" s="74" t="s">
        <v>163</v>
      </c>
      <c r="F21" s="75"/>
    </row>
    <row r="22" spans="2:6" ht="15" x14ac:dyDescent="0.2">
      <c r="B22" s="74" t="s">
        <v>164</v>
      </c>
      <c r="C22" s="74"/>
      <c r="D22" s="74"/>
      <c r="E22" s="74" t="s">
        <v>164</v>
      </c>
      <c r="F22" s="75"/>
    </row>
    <row r="23" spans="2:6" ht="15" x14ac:dyDescent="0.2">
      <c r="B23" s="74" t="s">
        <v>165</v>
      </c>
      <c r="C23" s="74"/>
      <c r="D23" s="74"/>
      <c r="E23" s="74" t="s">
        <v>165</v>
      </c>
      <c r="F23" s="75"/>
    </row>
    <row r="24" spans="2:6" ht="15" x14ac:dyDescent="0.2">
      <c r="B24" s="74" t="s">
        <v>166</v>
      </c>
      <c r="C24" s="74"/>
      <c r="D24" s="74"/>
      <c r="E24" s="74" t="s">
        <v>166</v>
      </c>
      <c r="F24" s="75"/>
    </row>
    <row r="25" spans="2:6" ht="15" x14ac:dyDescent="0.2">
      <c r="B25" s="74" t="s">
        <v>167</v>
      </c>
      <c r="C25" s="74"/>
      <c r="D25" s="74"/>
      <c r="E25" s="74" t="s">
        <v>167</v>
      </c>
      <c r="F25" s="75"/>
    </row>
    <row r="26" spans="2:6" ht="15" x14ac:dyDescent="0.2">
      <c r="B26" s="75"/>
      <c r="C26" s="74"/>
      <c r="D26" s="74"/>
      <c r="E26" s="74"/>
      <c r="F26" s="75"/>
    </row>
    <row r="27" spans="2:6" ht="15" x14ac:dyDescent="0.2">
      <c r="B27" s="75"/>
      <c r="C27" s="74"/>
      <c r="D27" s="74"/>
      <c r="E27" s="74"/>
      <c r="F27" s="75"/>
    </row>
    <row r="28" spans="2:6" x14ac:dyDescent="0.2">
      <c r="C28" s="68"/>
      <c r="D28" s="68"/>
    </row>
    <row r="29" spans="2:6" x14ac:dyDescent="0.2">
      <c r="C29" s="68"/>
      <c r="D29" s="68"/>
    </row>
    <row r="30" spans="2:6" x14ac:dyDescent="0.2">
      <c r="C30" s="68"/>
      <c r="D30" s="68"/>
    </row>
    <row r="31" spans="2:6" x14ac:dyDescent="0.2">
      <c r="C31" s="68"/>
      <c r="D31" s="68"/>
    </row>
    <row r="32" spans="2:6" x14ac:dyDescent="0.2">
      <c r="C32" s="68"/>
      <c r="D32" s="68"/>
    </row>
    <row r="33" spans="3:5" x14ac:dyDescent="0.2">
      <c r="C33" s="68"/>
      <c r="D33" s="68"/>
    </row>
    <row r="34" spans="3:5" x14ac:dyDescent="0.2">
      <c r="C34" s="68"/>
      <c r="D34" s="68"/>
      <c r="E34" s="68"/>
    </row>
    <row r="38" spans="3:5" hidden="1" x14ac:dyDescent="0.2">
      <c r="C38" t="s">
        <v>59</v>
      </c>
      <c r="D38" t="s">
        <v>89</v>
      </c>
    </row>
    <row r="39" spans="3:5" hidden="1" x14ac:dyDescent="0.2">
      <c r="C39" t="s">
        <v>101</v>
      </c>
      <c r="D39" t="s">
        <v>90</v>
      </c>
    </row>
  </sheetData>
  <sheetProtection algorithmName="SHA-512" hashValue="fVpRxWVuNo1P4DoMaBQbLPN+FdMW66pp6ZFG2EoF9xio93UvmsTZhrnIXiCQ/xWEF37YDs+mCKdWQNjs5ZIdDA==" saltValue="VxVeFq1mpVfIAewQwSXFng==" spinCount="100000" sheet="1" objects="1" scenarios="1" formatCells="0" formatColumns="0" formatRows="0"/>
  <mergeCells count="12">
    <mergeCell ref="E9:F9"/>
    <mergeCell ref="B14:F14"/>
    <mergeCell ref="E10:F10"/>
    <mergeCell ref="E11:F11"/>
    <mergeCell ref="E12:F12"/>
    <mergeCell ref="B2:F2"/>
    <mergeCell ref="E6:F6"/>
    <mergeCell ref="E7:F7"/>
    <mergeCell ref="E8:F8"/>
    <mergeCell ref="E3:F3"/>
    <mergeCell ref="E4:F4"/>
    <mergeCell ref="E5:F5"/>
  </mergeCells>
  <phoneticPr fontId="6" type="noConversion"/>
  <dataValidations count="2">
    <dataValidation type="list" allowBlank="1" showInputMessage="1" showErrorMessage="1" sqref="C4">
      <formula1>$D$38:$D$39</formula1>
    </dataValidation>
    <dataValidation type="list" allowBlank="1" showInputMessage="1" showErrorMessage="1" sqref="C8">
      <formula1>$C$38:$C$39</formula1>
    </dataValidation>
  </dataValidations>
  <pageMargins left="0.75" right="0.75" top="1" bottom="1" header="0.5" footer="0.5"/>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showGridLines="0" tabSelected="1" workbookViewId="0">
      <selection activeCell="M6" sqref="M6"/>
    </sheetView>
  </sheetViews>
  <sheetFormatPr defaultRowHeight="12.75" x14ac:dyDescent="0.2"/>
  <cols>
    <col min="1" max="1" width="3" customWidth="1"/>
    <col min="2" max="2" width="4" customWidth="1"/>
    <col min="3" max="3" width="31.42578125" customWidth="1"/>
    <col min="4" max="4" width="7.28515625" customWidth="1"/>
    <col min="5" max="5" width="7.7109375" customWidth="1"/>
    <col min="6" max="6" width="7.85546875" customWidth="1"/>
    <col min="7" max="7" width="11.7109375" customWidth="1"/>
    <col min="8" max="8" width="5" customWidth="1"/>
    <col min="9" max="9" width="8.7109375" customWidth="1"/>
    <col min="10" max="10" width="13.140625" customWidth="1"/>
    <col min="11" max="11" width="9.28515625" customWidth="1"/>
    <col min="12" max="12" width="13.7109375" customWidth="1"/>
    <col min="13" max="13" width="11.42578125" customWidth="1"/>
    <col min="14" max="14" width="4.140625" customWidth="1"/>
    <col min="15" max="15" width="15" customWidth="1"/>
    <col min="16" max="16" width="11.140625" customWidth="1"/>
    <col min="17" max="17" width="18.7109375" customWidth="1"/>
  </cols>
  <sheetData>
    <row r="1" spans="2:17" ht="13.5" thickBot="1" x14ac:dyDescent="0.25"/>
    <row r="2" spans="2:17" ht="21" thickTop="1" x14ac:dyDescent="0.3">
      <c r="B2" s="203" t="s">
        <v>215</v>
      </c>
      <c r="C2" s="201"/>
      <c r="D2" s="201"/>
      <c r="E2" s="201"/>
      <c r="F2" s="201"/>
      <c r="G2" s="201"/>
      <c r="H2" s="201"/>
      <c r="I2" s="204"/>
      <c r="J2" s="200" t="s">
        <v>216</v>
      </c>
      <c r="K2" s="201"/>
      <c r="L2" s="201"/>
      <c r="M2" s="202"/>
    </row>
    <row r="3" spans="2:17" ht="5.25" customHeight="1" x14ac:dyDescent="0.2">
      <c r="B3" s="108"/>
      <c r="C3" s="4"/>
      <c r="D3" s="4"/>
      <c r="E3" s="4"/>
      <c r="F3" s="4"/>
      <c r="G3" s="207"/>
      <c r="H3" s="169"/>
      <c r="I3" s="54"/>
      <c r="J3" s="132"/>
      <c r="K3" s="4"/>
      <c r="L3" s="4"/>
      <c r="M3" s="109"/>
    </row>
    <row r="4" spans="2:17" s="149" customFormat="1" ht="19.149999999999999" customHeight="1" x14ac:dyDescent="0.2">
      <c r="B4" s="143"/>
      <c r="C4" s="144"/>
      <c r="D4" s="145" t="s">
        <v>153</v>
      </c>
      <c r="E4" s="145" t="s">
        <v>60</v>
      </c>
      <c r="F4" s="145" t="s">
        <v>61</v>
      </c>
      <c r="G4" s="205"/>
      <c r="H4" s="206"/>
      <c r="I4" s="146" t="s">
        <v>5</v>
      </c>
      <c r="J4" s="147" t="s">
        <v>153</v>
      </c>
      <c r="K4" s="145" t="s">
        <v>60</v>
      </c>
      <c r="L4" s="145" t="s">
        <v>61</v>
      </c>
      <c r="M4" s="148" t="s">
        <v>5</v>
      </c>
      <c r="O4" s="150"/>
      <c r="P4" s="150"/>
    </row>
    <row r="5" spans="2:17" x14ac:dyDescent="0.2">
      <c r="B5" s="110" t="s">
        <v>62</v>
      </c>
      <c r="C5" s="28"/>
      <c r="D5" s="185"/>
      <c r="E5" s="186"/>
      <c r="F5" s="186"/>
      <c r="G5" s="186"/>
      <c r="H5" s="186"/>
      <c r="I5" s="186"/>
      <c r="J5" s="132"/>
      <c r="K5" s="4"/>
      <c r="L5" s="4"/>
      <c r="M5" s="109"/>
    </row>
    <row r="6" spans="2:17" x14ac:dyDescent="0.2">
      <c r="B6" s="108"/>
      <c r="C6" s="4" t="s">
        <v>38</v>
      </c>
      <c r="D6" s="88">
        <v>145</v>
      </c>
      <c r="E6" s="4" t="s">
        <v>63</v>
      </c>
      <c r="F6" s="91">
        <v>3.75</v>
      </c>
      <c r="G6" s="177"/>
      <c r="H6" s="177"/>
      <c r="I6" s="124">
        <f>D6*F6</f>
        <v>543.75</v>
      </c>
      <c r="J6" s="133">
        <v>120</v>
      </c>
      <c r="K6" s="4" t="s">
        <v>63</v>
      </c>
      <c r="L6" s="91">
        <v>3.75</v>
      </c>
      <c r="M6" s="111">
        <f>J6*L6</f>
        <v>450</v>
      </c>
      <c r="O6" s="24"/>
      <c r="P6" s="24"/>
    </row>
    <row r="7" spans="2:17" x14ac:dyDescent="0.2">
      <c r="B7" s="108"/>
      <c r="C7" s="30" t="s">
        <v>200</v>
      </c>
      <c r="D7" s="4">
        <v>1</v>
      </c>
      <c r="E7" s="4" t="s">
        <v>69</v>
      </c>
      <c r="F7" s="91">
        <v>0</v>
      </c>
      <c r="G7" s="178"/>
      <c r="H7" s="179"/>
      <c r="I7" s="125">
        <f>D7*F7</f>
        <v>0</v>
      </c>
      <c r="J7" s="132">
        <v>1</v>
      </c>
      <c r="K7" s="4" t="s">
        <v>69</v>
      </c>
      <c r="L7" s="91">
        <v>0</v>
      </c>
      <c r="M7" s="112">
        <f>J7*L7</f>
        <v>0</v>
      </c>
    </row>
    <row r="8" spans="2:17" x14ac:dyDescent="0.2">
      <c r="B8" s="108"/>
      <c r="C8" s="30" t="s">
        <v>201</v>
      </c>
      <c r="D8" s="4">
        <v>1</v>
      </c>
      <c r="E8" s="4" t="s">
        <v>69</v>
      </c>
      <c r="F8" s="91">
        <v>10</v>
      </c>
      <c r="G8" s="178"/>
      <c r="H8" s="179"/>
      <c r="I8" s="126">
        <f>D8*F8</f>
        <v>10</v>
      </c>
      <c r="J8" s="132">
        <v>1</v>
      </c>
      <c r="K8" s="4" t="s">
        <v>69</v>
      </c>
      <c r="L8" s="104">
        <f>F8</f>
        <v>10</v>
      </c>
      <c r="M8" s="113">
        <f>J8*L8</f>
        <v>10</v>
      </c>
    </row>
    <row r="9" spans="2:17" x14ac:dyDescent="0.2">
      <c r="B9" s="110" t="s">
        <v>83</v>
      </c>
      <c r="C9" s="29"/>
      <c r="D9" s="4"/>
      <c r="E9" s="4"/>
      <c r="F9" s="17"/>
      <c r="G9" s="177"/>
      <c r="H9" s="177"/>
      <c r="I9" s="127">
        <f>I6+I8</f>
        <v>553.75</v>
      </c>
      <c r="J9" s="132"/>
      <c r="K9" s="4"/>
      <c r="L9" s="17"/>
      <c r="M9" s="114">
        <f>M6+M8</f>
        <v>460</v>
      </c>
    </row>
    <row r="10" spans="2:17" ht="4.5" customHeight="1" thickBot="1" x14ac:dyDescent="0.25">
      <c r="B10" s="108"/>
      <c r="C10" s="4"/>
      <c r="D10" s="4"/>
      <c r="E10" s="4"/>
      <c r="F10" s="4"/>
      <c r="G10" s="177"/>
      <c r="H10" s="177"/>
      <c r="I10" s="54"/>
      <c r="J10" s="132"/>
      <c r="K10" s="4"/>
      <c r="L10" s="4"/>
      <c r="M10" s="109"/>
    </row>
    <row r="11" spans="2:17" ht="13.5" thickTop="1" x14ac:dyDescent="0.2">
      <c r="B11" s="115" t="s">
        <v>64</v>
      </c>
      <c r="C11" s="4"/>
      <c r="D11" s="185"/>
      <c r="E11" s="186"/>
      <c r="F11" s="186"/>
      <c r="G11" s="186"/>
      <c r="H11" s="186"/>
      <c r="I11" s="186"/>
      <c r="J11" s="132"/>
      <c r="K11" s="4"/>
      <c r="L11" s="4"/>
      <c r="M11" s="109"/>
      <c r="O11" s="191" t="s">
        <v>224</v>
      </c>
      <c r="P11" s="192"/>
      <c r="Q11" s="193"/>
    </row>
    <row r="12" spans="2:17" ht="13.5" thickBot="1" x14ac:dyDescent="0.25">
      <c r="B12" s="108"/>
      <c r="C12" s="4" t="s">
        <v>65</v>
      </c>
      <c r="D12" s="89">
        <v>0.38</v>
      </c>
      <c r="E12" s="4" t="s">
        <v>66</v>
      </c>
      <c r="F12" s="92">
        <v>265</v>
      </c>
      <c r="G12" s="177"/>
      <c r="H12" s="177"/>
      <c r="I12" s="124">
        <f t="shared" ref="I12:I29" si="0">D12*F12</f>
        <v>100.7</v>
      </c>
      <c r="J12" s="134">
        <v>0.2</v>
      </c>
      <c r="K12" s="4" t="s">
        <v>66</v>
      </c>
      <c r="L12" s="92">
        <v>150</v>
      </c>
      <c r="M12" s="111">
        <f>J12*L12</f>
        <v>30</v>
      </c>
      <c r="O12" s="194" t="s">
        <v>223</v>
      </c>
      <c r="P12" s="195"/>
      <c r="Q12" s="196"/>
    </row>
    <row r="13" spans="2:17" ht="15" thickTop="1" x14ac:dyDescent="0.2">
      <c r="B13" s="108"/>
      <c r="C13" s="4" t="s">
        <v>172</v>
      </c>
      <c r="D13" s="90">
        <v>170</v>
      </c>
      <c r="E13" s="4" t="s">
        <v>195</v>
      </c>
      <c r="F13" s="91">
        <v>0.35</v>
      </c>
      <c r="G13" s="177"/>
      <c r="H13" s="177"/>
      <c r="I13" s="124">
        <f t="shared" si="0"/>
        <v>59.499999999999993</v>
      </c>
      <c r="J13" s="135">
        <v>120</v>
      </c>
      <c r="K13" s="4" t="s">
        <v>195</v>
      </c>
      <c r="L13" s="104">
        <f>F13</f>
        <v>0.35</v>
      </c>
      <c r="M13" s="111">
        <f t="shared" ref="M13:M18" si="1">J13*L13</f>
        <v>42</v>
      </c>
      <c r="O13" s="153" t="s">
        <v>219</v>
      </c>
      <c r="P13" s="154" t="s">
        <v>229</v>
      </c>
      <c r="Q13" s="155" t="s">
        <v>222</v>
      </c>
    </row>
    <row r="14" spans="2:17" ht="15.75" x14ac:dyDescent="0.3">
      <c r="B14" s="108"/>
      <c r="C14" s="4" t="s">
        <v>122</v>
      </c>
      <c r="D14" s="90">
        <v>60</v>
      </c>
      <c r="E14" s="4" t="s">
        <v>195</v>
      </c>
      <c r="F14" s="91">
        <v>0.4</v>
      </c>
      <c r="G14" s="177"/>
      <c r="H14" s="177"/>
      <c r="I14" s="124">
        <f>D14*F14</f>
        <v>24</v>
      </c>
      <c r="J14" s="136">
        <f>D14*(J$6/D$6)</f>
        <v>49.655172413793103</v>
      </c>
      <c r="K14" s="4" t="s">
        <v>195</v>
      </c>
      <c r="L14" s="104">
        <f t="shared" ref="L14:L15" si="2">F14</f>
        <v>0.4</v>
      </c>
      <c r="M14" s="111">
        <f t="shared" si="1"/>
        <v>19.862068965517242</v>
      </c>
      <c r="O14" s="156">
        <f>O15-Q61</f>
        <v>110</v>
      </c>
      <c r="P14" s="211">
        <f>D$6</f>
        <v>145</v>
      </c>
      <c r="Q14" s="157">
        <f>Q15-Q$61*(L$6-Q$62)</f>
        <v>-26.678707479795563</v>
      </c>
    </row>
    <row r="15" spans="2:17" ht="15.75" x14ac:dyDescent="0.3">
      <c r="B15" s="108"/>
      <c r="C15" s="4" t="s">
        <v>123</v>
      </c>
      <c r="D15" s="90">
        <v>53</v>
      </c>
      <c r="E15" s="4" t="s">
        <v>195</v>
      </c>
      <c r="F15" s="91">
        <v>0.3</v>
      </c>
      <c r="G15" s="189"/>
      <c r="H15" s="190"/>
      <c r="I15" s="124">
        <f t="shared" si="0"/>
        <v>15.899999999999999</v>
      </c>
      <c r="J15" s="136">
        <f>D15*(J$6/D$6)</f>
        <v>43.862068965517238</v>
      </c>
      <c r="K15" s="4" t="s">
        <v>195</v>
      </c>
      <c r="L15" s="104">
        <f t="shared" si="2"/>
        <v>0.3</v>
      </c>
      <c r="M15" s="111">
        <f t="shared" si="1"/>
        <v>13.158620689655171</v>
      </c>
      <c r="O15" s="156">
        <f>O16-Q61</f>
        <v>115</v>
      </c>
      <c r="P15" s="212"/>
      <c r="Q15" s="157">
        <f>Q16-Q$61*(L$6-Q$62)</f>
        <v>-10.094578747806693</v>
      </c>
    </row>
    <row r="16" spans="2:17" x14ac:dyDescent="0.2">
      <c r="B16" s="108"/>
      <c r="C16" s="4" t="s">
        <v>108</v>
      </c>
      <c r="D16" s="90">
        <v>0</v>
      </c>
      <c r="E16" s="4" t="s">
        <v>195</v>
      </c>
      <c r="F16" s="91">
        <v>0</v>
      </c>
      <c r="G16" s="189"/>
      <c r="H16" s="190"/>
      <c r="I16" s="124">
        <f t="shared" si="0"/>
        <v>0</v>
      </c>
      <c r="J16" s="90">
        <v>0</v>
      </c>
      <c r="K16" s="4" t="s">
        <v>195</v>
      </c>
      <c r="L16" s="91">
        <v>0</v>
      </c>
      <c r="M16" s="111">
        <f t="shared" si="1"/>
        <v>0</v>
      </c>
      <c r="O16" s="158">
        <f>J6</f>
        <v>120</v>
      </c>
      <c r="P16" s="212"/>
      <c r="Q16" s="159">
        <f>M40-I40</f>
        <v>6.489549984182176</v>
      </c>
    </row>
    <row r="17" spans="2:17" x14ac:dyDescent="0.2">
      <c r="B17" s="108"/>
      <c r="C17" s="4" t="s">
        <v>97</v>
      </c>
      <c r="D17" s="97">
        <v>0.7</v>
      </c>
      <c r="E17" s="4" t="s">
        <v>67</v>
      </c>
      <c r="F17" s="91">
        <v>20</v>
      </c>
      <c r="G17" s="177"/>
      <c r="H17" s="177"/>
      <c r="I17" s="124">
        <f t="shared" si="0"/>
        <v>14</v>
      </c>
      <c r="J17" s="137">
        <f>D17</f>
        <v>0.7</v>
      </c>
      <c r="K17" s="4" t="s">
        <v>67</v>
      </c>
      <c r="L17" s="104">
        <f>F17</f>
        <v>20</v>
      </c>
      <c r="M17" s="111">
        <f t="shared" si="1"/>
        <v>14</v>
      </c>
      <c r="O17" s="156">
        <f>O16+Q61</f>
        <v>125</v>
      </c>
      <c r="P17" s="212"/>
      <c r="Q17" s="157">
        <f>Q16+Q$61*(L$6-Q$62)</f>
        <v>23.073678716171045</v>
      </c>
    </row>
    <row r="18" spans="2:17" ht="13.5" thickBot="1" x14ac:dyDescent="0.25">
      <c r="B18" s="108"/>
      <c r="C18" s="30" t="s">
        <v>217</v>
      </c>
      <c r="D18" s="4">
        <v>1</v>
      </c>
      <c r="E18" s="4" t="s">
        <v>69</v>
      </c>
      <c r="F18" s="92">
        <v>50</v>
      </c>
      <c r="G18" s="177"/>
      <c r="H18" s="177"/>
      <c r="I18" s="124">
        <f t="shared" si="0"/>
        <v>50</v>
      </c>
      <c r="J18" s="132">
        <v>1</v>
      </c>
      <c r="K18" s="4" t="s">
        <v>69</v>
      </c>
      <c r="L18" s="92">
        <v>50</v>
      </c>
      <c r="M18" s="111">
        <f t="shared" si="1"/>
        <v>50</v>
      </c>
      <c r="O18" s="160">
        <f>O17+Q61</f>
        <v>130</v>
      </c>
      <c r="P18" s="213"/>
      <c r="Q18" s="161">
        <f>Q17+Q$61*(L$6-Q$62)</f>
        <v>39.657807448159915</v>
      </c>
    </row>
    <row r="19" spans="2:17" ht="15.75" thickTop="1" thickBot="1" x14ac:dyDescent="0.25">
      <c r="B19" s="108"/>
      <c r="C19" s="30" t="s">
        <v>225</v>
      </c>
      <c r="D19" s="214">
        <v>25</v>
      </c>
      <c r="E19" s="215"/>
      <c r="F19" s="217" t="s">
        <v>218</v>
      </c>
      <c r="G19" s="218"/>
      <c r="H19" s="218"/>
      <c r="I19" s="219"/>
      <c r="J19" s="216">
        <v>25</v>
      </c>
      <c r="K19" s="215"/>
      <c r="L19" s="217" t="s">
        <v>226</v>
      </c>
      <c r="M19" s="220"/>
      <c r="O19" s="197" t="s">
        <v>230</v>
      </c>
      <c r="P19" s="198"/>
      <c r="Q19" s="199"/>
    </row>
    <row r="20" spans="2:17" ht="13.15" customHeight="1" thickTop="1" x14ac:dyDescent="0.2">
      <c r="B20" s="108"/>
      <c r="C20" s="37" t="s">
        <v>96</v>
      </c>
      <c r="D20" s="37">
        <v>1</v>
      </c>
      <c r="E20" s="37" t="s">
        <v>69</v>
      </c>
      <c r="F20" s="93">
        <v>0</v>
      </c>
      <c r="G20" s="222" t="s">
        <v>142</v>
      </c>
      <c r="H20" s="224" t="s">
        <v>59</v>
      </c>
      <c r="I20" s="128">
        <f>IF(H20="Y",'Mach(CornNoTill)'!O57,F20)</f>
        <v>14.442165904808316</v>
      </c>
      <c r="J20" s="138">
        <v>1</v>
      </c>
      <c r="K20" s="37" t="s">
        <v>69</v>
      </c>
      <c r="L20" s="93">
        <v>0</v>
      </c>
      <c r="M20" s="116">
        <f>IF(H20="Y",'Mach(Sorg)'!O57,L20)</f>
        <v>13.889534325860948</v>
      </c>
    </row>
    <row r="21" spans="2:17" x14ac:dyDescent="0.2">
      <c r="B21" s="108"/>
      <c r="C21" s="37" t="s">
        <v>8</v>
      </c>
      <c r="D21" s="37">
        <v>1</v>
      </c>
      <c r="E21" s="37" t="s">
        <v>69</v>
      </c>
      <c r="F21" s="93">
        <v>0</v>
      </c>
      <c r="G21" s="223"/>
      <c r="H21" s="225"/>
      <c r="I21" s="128">
        <f>IF(H20="Y",('Mach(CornNoTill)'!R57-(I24*'Mach(CornNoTill)'!B12)),F21)</f>
        <v>30.225385019379779</v>
      </c>
      <c r="J21" s="138">
        <v>1</v>
      </c>
      <c r="K21" s="37" t="s">
        <v>69</v>
      </c>
      <c r="L21" s="93">
        <v>0</v>
      </c>
      <c r="M21" s="116">
        <f>IF(H20="Y",('Mach(Sorg)'!R57-(I24*'Mach(Sorg)'!B12)),L21)</f>
        <v>30.617621861485041</v>
      </c>
    </row>
    <row r="22" spans="2:17" x14ac:dyDescent="0.2">
      <c r="B22" s="108"/>
      <c r="C22" s="37" t="s">
        <v>80</v>
      </c>
      <c r="D22" s="37">
        <v>1</v>
      </c>
      <c r="E22" s="37" t="s">
        <v>69</v>
      </c>
      <c r="F22" s="93">
        <v>0</v>
      </c>
      <c r="G22" s="223"/>
      <c r="H22" s="225"/>
      <c r="I22" s="128">
        <f>IF(H20="Y",'Mach(CornNoTill)'!Q57,F22)</f>
        <v>0</v>
      </c>
      <c r="J22" s="138">
        <v>1</v>
      </c>
      <c r="K22" s="37" t="s">
        <v>69</v>
      </c>
      <c r="L22" s="93">
        <v>0</v>
      </c>
      <c r="M22" s="116">
        <f>IF(H20="Y",'Mach(Sorg)'!Q57,L22)</f>
        <v>0</v>
      </c>
    </row>
    <row r="23" spans="2:17" x14ac:dyDescent="0.2">
      <c r="B23" s="108"/>
      <c r="C23" s="37" t="s">
        <v>124</v>
      </c>
      <c r="D23" s="37">
        <v>1</v>
      </c>
      <c r="E23" s="37" t="s">
        <v>69</v>
      </c>
      <c r="F23" s="93">
        <v>0</v>
      </c>
      <c r="G23" s="223"/>
      <c r="H23" s="225"/>
      <c r="I23" s="128">
        <f>IF(H20="Y",(IF('Mach(CornNoTill)'!B5="y",'Mach(CornNoTill)'!P57,0)),F23)</f>
        <v>21.684976558475764</v>
      </c>
      <c r="J23" s="138">
        <v>1</v>
      </c>
      <c r="K23" s="37" t="s">
        <v>69</v>
      </c>
      <c r="L23" s="93">
        <v>0</v>
      </c>
      <c r="M23" s="116">
        <f>IF(H20="Y",(IF('Mach(Sorg)'!B5="y",'Mach(Sorg)'!P57,0)),L23)</f>
        <v>21.049011646195062</v>
      </c>
    </row>
    <row r="24" spans="2:17" x14ac:dyDescent="0.2">
      <c r="B24" s="108"/>
      <c r="C24" s="12" t="s">
        <v>87</v>
      </c>
      <c r="D24" s="4">
        <v>1</v>
      </c>
      <c r="E24" s="4" t="s">
        <v>69</v>
      </c>
      <c r="F24" s="91">
        <v>0</v>
      </c>
      <c r="G24" s="175"/>
      <c r="H24" s="175"/>
      <c r="I24" s="124">
        <f t="shared" si="0"/>
        <v>0</v>
      </c>
      <c r="J24" s="132">
        <v>1</v>
      </c>
      <c r="K24" s="4" t="s">
        <v>69</v>
      </c>
      <c r="L24" s="91">
        <v>0</v>
      </c>
      <c r="M24" s="111">
        <f t="shared" ref="M24:M25" si="3">J24*L24</f>
        <v>0</v>
      </c>
    </row>
    <row r="25" spans="2:17" x14ac:dyDescent="0.2">
      <c r="B25" s="108"/>
      <c r="C25" s="12" t="s">
        <v>141</v>
      </c>
      <c r="D25" s="4">
        <v>1</v>
      </c>
      <c r="E25" s="4" t="s">
        <v>69</v>
      </c>
      <c r="F25" s="91">
        <v>0</v>
      </c>
      <c r="G25" s="175"/>
      <c r="H25" s="175"/>
      <c r="I25" s="124">
        <f>D25*F25</f>
        <v>0</v>
      </c>
      <c r="J25" s="132">
        <v>1</v>
      </c>
      <c r="K25" s="4" t="s">
        <v>69</v>
      </c>
      <c r="L25" s="91">
        <v>0</v>
      </c>
      <c r="M25" s="111">
        <f t="shared" si="3"/>
        <v>0</v>
      </c>
    </row>
    <row r="26" spans="2:17" x14ac:dyDescent="0.2">
      <c r="B26" s="108"/>
      <c r="C26" s="12" t="s">
        <v>186</v>
      </c>
      <c r="D26" s="4">
        <v>1</v>
      </c>
      <c r="E26" s="4" t="s">
        <v>95</v>
      </c>
      <c r="F26" s="91">
        <v>1.75</v>
      </c>
      <c r="G26" s="99" t="s">
        <v>134</v>
      </c>
      <c r="H26" s="95">
        <v>3</v>
      </c>
      <c r="I26" s="129">
        <f>(F26/54.5+0.005)*D6*H26</f>
        <v>16.142889908256883</v>
      </c>
      <c r="J26" s="132">
        <v>1</v>
      </c>
      <c r="K26" s="4" t="s">
        <v>95</v>
      </c>
      <c r="L26" s="104">
        <f>F26</f>
        <v>1.75</v>
      </c>
      <c r="M26" s="141">
        <f>(F26/54.5+0.005)*J6*H26</f>
        <v>13.359633027522936</v>
      </c>
    </row>
    <row r="27" spans="2:17" ht="14.25" x14ac:dyDescent="0.2">
      <c r="B27" s="108"/>
      <c r="C27" s="30" t="s">
        <v>193</v>
      </c>
      <c r="D27" s="4">
        <v>1</v>
      </c>
      <c r="E27" s="4" t="s">
        <v>69</v>
      </c>
      <c r="F27" s="91">
        <v>25</v>
      </c>
      <c r="G27" s="175"/>
      <c r="H27" s="175"/>
      <c r="I27" s="124">
        <f t="shared" si="0"/>
        <v>25</v>
      </c>
      <c r="J27" s="132">
        <v>1</v>
      </c>
      <c r="K27" s="4" t="s">
        <v>69</v>
      </c>
      <c r="L27" s="92">
        <v>25</v>
      </c>
      <c r="M27" s="111">
        <f t="shared" ref="M27:M29" si="4">J27*L27</f>
        <v>25</v>
      </c>
    </row>
    <row r="28" spans="2:17" ht="14.25" x14ac:dyDescent="0.2">
      <c r="B28" s="108"/>
      <c r="C28" s="142" t="s">
        <v>194</v>
      </c>
      <c r="D28" s="4">
        <v>1</v>
      </c>
      <c r="E28" s="4" t="s">
        <v>69</v>
      </c>
      <c r="F28" s="91">
        <v>150</v>
      </c>
      <c r="G28" s="175"/>
      <c r="H28" s="175"/>
      <c r="I28" s="124">
        <f t="shared" si="0"/>
        <v>150</v>
      </c>
      <c r="J28" s="132">
        <v>1</v>
      </c>
      <c r="K28" s="4" t="s">
        <v>69</v>
      </c>
      <c r="L28" s="104">
        <f>F28</f>
        <v>150</v>
      </c>
      <c r="M28" s="111">
        <f t="shared" si="4"/>
        <v>150</v>
      </c>
    </row>
    <row r="29" spans="2:17" x14ac:dyDescent="0.2">
      <c r="B29" s="108"/>
      <c r="C29" s="4" t="s">
        <v>188</v>
      </c>
      <c r="D29" s="4">
        <v>1</v>
      </c>
      <c r="E29" s="4" t="s">
        <v>69</v>
      </c>
      <c r="F29" s="91">
        <v>5</v>
      </c>
      <c r="G29" s="188"/>
      <c r="H29" s="188"/>
      <c r="I29" s="124">
        <f t="shared" si="0"/>
        <v>5</v>
      </c>
      <c r="J29" s="132">
        <v>1</v>
      </c>
      <c r="K29" s="4" t="s">
        <v>69</v>
      </c>
      <c r="L29" s="91">
        <v>5</v>
      </c>
      <c r="M29" s="111">
        <f t="shared" si="4"/>
        <v>5</v>
      </c>
    </row>
    <row r="30" spans="2:17" x14ac:dyDescent="0.2">
      <c r="B30" s="108"/>
      <c r="C30" s="4" t="s">
        <v>70</v>
      </c>
      <c r="D30" s="69">
        <f>SUM(I11:I29)-I26-(SUM('Mach(CornNoTill)'!O38:O42,'Mach(CornNoTill)'!P38:P42,'Mach(CornNoTill)'!Q38:Q42,'Mach(CornNoTill)'!R38:R42,'Mach(CornNoTill)'!T38:T42))</f>
        <v>478.89719164767899</v>
      </c>
      <c r="E30" s="4" t="s">
        <v>71</v>
      </c>
      <c r="F30" s="94">
        <v>0.05</v>
      </c>
      <c r="G30" s="99" t="s">
        <v>91</v>
      </c>
      <c r="H30" s="96">
        <v>6</v>
      </c>
      <c r="I30" s="126">
        <f>D30*F30*(H30/12)</f>
        <v>11.972429791191976</v>
      </c>
      <c r="J30" s="139">
        <f>SUM(M11:M29)-M26-(SUM('Mach(Sorg)'!O38:O42,'Mach(Sorg)'!P38:P42,'Mach(Sorg)'!Q38:Q42,'Mach(Sorg)'!R38:R42,'Mach(Sorg)'!T38:T42))</f>
        <v>383.81788130285145</v>
      </c>
      <c r="K30" s="4" t="s">
        <v>71</v>
      </c>
      <c r="L30" s="103">
        <f>F30</f>
        <v>0.05</v>
      </c>
      <c r="M30" s="113">
        <f>J30*F30*(H30/12)</f>
        <v>9.5954470325712862</v>
      </c>
    </row>
    <row r="31" spans="2:17" x14ac:dyDescent="0.2">
      <c r="B31" s="115" t="s">
        <v>72</v>
      </c>
      <c r="C31" s="4"/>
      <c r="D31" s="4"/>
      <c r="E31" s="4"/>
      <c r="F31" s="4"/>
      <c r="G31" s="177"/>
      <c r="H31" s="177"/>
      <c r="I31" s="127">
        <f>SUM(I12:I30)</f>
        <v>538.5678471821127</v>
      </c>
      <c r="J31" s="132"/>
      <c r="K31" s="4"/>
      <c r="L31" s="4"/>
      <c r="M31" s="114">
        <f>SUM(M12:M30)</f>
        <v>437.53193754880772</v>
      </c>
    </row>
    <row r="32" spans="2:17" ht="7.5" customHeight="1" x14ac:dyDescent="0.2">
      <c r="B32" s="108"/>
      <c r="C32" s="4"/>
      <c r="D32" s="4"/>
      <c r="E32" s="4"/>
      <c r="F32" s="4"/>
      <c r="G32" s="177"/>
      <c r="H32" s="177"/>
      <c r="I32" s="54"/>
      <c r="J32" s="132"/>
      <c r="K32" s="4"/>
      <c r="L32" s="4"/>
      <c r="M32" s="109"/>
    </row>
    <row r="33" spans="2:13" ht="15.75" x14ac:dyDescent="0.25">
      <c r="B33" s="187" t="s">
        <v>73</v>
      </c>
      <c r="C33" s="186"/>
      <c r="D33" s="186"/>
      <c r="E33" s="186"/>
      <c r="F33" s="186"/>
      <c r="G33" s="186"/>
      <c r="H33" s="169"/>
      <c r="I33" s="130">
        <f>I9-I31</f>
        <v>15.1821528178873</v>
      </c>
      <c r="J33" s="132"/>
      <c r="K33" s="4"/>
      <c r="L33" s="4"/>
      <c r="M33" s="117">
        <f>M9-M31</f>
        <v>22.468062451192282</v>
      </c>
    </row>
    <row r="34" spans="2:13" ht="7.5" customHeight="1" x14ac:dyDescent="0.2">
      <c r="B34" s="108"/>
      <c r="C34" s="4"/>
      <c r="D34" s="4"/>
      <c r="E34" s="4"/>
      <c r="F34" s="4"/>
      <c r="G34" s="177"/>
      <c r="H34" s="177"/>
      <c r="I34" s="54"/>
      <c r="J34" s="132"/>
      <c r="K34" s="4"/>
      <c r="L34" s="4"/>
      <c r="M34" s="109"/>
    </row>
    <row r="35" spans="2:13" x14ac:dyDescent="0.2">
      <c r="B35" s="115" t="s">
        <v>74</v>
      </c>
      <c r="C35" s="4"/>
      <c r="D35" s="185"/>
      <c r="E35" s="186"/>
      <c r="F35" s="186"/>
      <c r="G35" s="186"/>
      <c r="H35" s="186"/>
      <c r="I35" s="186"/>
      <c r="J35" s="132"/>
      <c r="K35" s="4"/>
      <c r="L35" s="4"/>
      <c r="M35" s="109"/>
    </row>
    <row r="36" spans="2:13" x14ac:dyDescent="0.2">
      <c r="B36" s="108"/>
      <c r="C36" s="37" t="s">
        <v>125</v>
      </c>
      <c r="D36" s="37">
        <v>1</v>
      </c>
      <c r="E36" s="37" t="s">
        <v>69</v>
      </c>
      <c r="F36" s="93">
        <v>0</v>
      </c>
      <c r="G36" s="181" t="s">
        <v>102</v>
      </c>
      <c r="H36" s="182"/>
      <c r="I36" s="128">
        <f>IF(H20="Y",IF('Mach(CornNoTill)'!B5="y",0,'Mach(CornNoTill)'!P57),F36)</f>
        <v>0</v>
      </c>
      <c r="J36" s="132">
        <v>1</v>
      </c>
      <c r="K36" s="4" t="s">
        <v>69</v>
      </c>
      <c r="L36" s="91">
        <v>0</v>
      </c>
      <c r="M36" s="116">
        <f>IF(H20="Y",IF('Mach(Sorg)'!B5="y",0,'Mach(Sorg)'!P57),L36)</f>
        <v>0</v>
      </c>
    </row>
    <row r="37" spans="2:13" ht="15" customHeight="1" x14ac:dyDescent="0.2">
      <c r="B37" s="108"/>
      <c r="C37" s="37" t="s">
        <v>81</v>
      </c>
      <c r="D37" s="37">
        <v>1</v>
      </c>
      <c r="E37" s="37" t="s">
        <v>69</v>
      </c>
      <c r="F37" s="93">
        <v>0</v>
      </c>
      <c r="G37" s="183"/>
      <c r="H37" s="184"/>
      <c r="I37" s="128">
        <f>IF(H20="Y",'Mach(CornNoTill)'!S57-(I24*(1-'Mach(CornNoTill)'!B12)),F37)</f>
        <v>51.991690796922569</v>
      </c>
      <c r="J37" s="132">
        <v>1</v>
      </c>
      <c r="K37" s="4" t="s">
        <v>69</v>
      </c>
      <c r="L37" s="91">
        <v>0</v>
      </c>
      <c r="M37" s="116">
        <f>IF(H20="Y",'Mach(Sorg)'!S57-(I24*(1-'Mach(Sorg)'!B12)),L37)</f>
        <v>52.788050446045375</v>
      </c>
    </row>
    <row r="38" spans="2:13" x14ac:dyDescent="0.2">
      <c r="B38" s="108"/>
      <c r="C38" s="4" t="s">
        <v>86</v>
      </c>
      <c r="D38" s="4">
        <v>1</v>
      </c>
      <c r="E38" s="4" t="s">
        <v>69</v>
      </c>
      <c r="F38" s="91">
        <v>5</v>
      </c>
      <c r="G38" s="177"/>
      <c r="H38" s="177"/>
      <c r="I38" s="124">
        <f>D38*F38</f>
        <v>5</v>
      </c>
      <c r="J38" s="132">
        <v>1</v>
      </c>
      <c r="K38" s="4" t="s">
        <v>69</v>
      </c>
      <c r="L38" s="104">
        <f>F38</f>
        <v>5</v>
      </c>
      <c r="M38" s="111">
        <f t="shared" ref="M38:M39" si="5">J38*L38</f>
        <v>5</v>
      </c>
    </row>
    <row r="39" spans="2:13" x14ac:dyDescent="0.2">
      <c r="B39" s="108"/>
      <c r="C39" s="4" t="s">
        <v>187</v>
      </c>
      <c r="D39" s="4">
        <v>1</v>
      </c>
      <c r="E39" s="4" t="s">
        <v>69</v>
      </c>
      <c r="F39" s="91">
        <v>5</v>
      </c>
      <c r="G39" s="177"/>
      <c r="H39" s="177"/>
      <c r="I39" s="126">
        <f>D39*F39</f>
        <v>5</v>
      </c>
      <c r="J39" s="132">
        <v>1</v>
      </c>
      <c r="K39" s="4" t="s">
        <v>69</v>
      </c>
      <c r="L39" s="104">
        <f>F39</f>
        <v>5</v>
      </c>
      <c r="M39" s="111">
        <f t="shared" si="5"/>
        <v>5</v>
      </c>
    </row>
    <row r="40" spans="2:13" ht="15.75" x14ac:dyDescent="0.25">
      <c r="B40" s="187" t="s">
        <v>75</v>
      </c>
      <c r="C40" s="186"/>
      <c r="D40" s="186"/>
      <c r="E40" s="186"/>
      <c r="F40" s="186"/>
      <c r="G40" s="186"/>
      <c r="H40" s="169"/>
      <c r="I40" s="130">
        <f>I33-(SUM(I36:I39))</f>
        <v>-46.809537979035269</v>
      </c>
      <c r="J40" s="132" t="s">
        <v>85</v>
      </c>
      <c r="K40" s="4"/>
      <c r="L40" s="4"/>
      <c r="M40" s="117">
        <f>M33-(SUM(M36:M39))</f>
        <v>-40.319987994853093</v>
      </c>
    </row>
    <row r="41" spans="2:13" x14ac:dyDescent="0.2">
      <c r="B41" s="108"/>
      <c r="C41" s="4"/>
      <c r="D41" s="4"/>
      <c r="E41" s="4"/>
      <c r="F41" s="4"/>
      <c r="G41" s="177"/>
      <c r="H41" s="177"/>
      <c r="I41" s="54"/>
      <c r="J41" s="132"/>
      <c r="K41" s="4"/>
      <c r="L41" s="4"/>
      <c r="M41" s="109"/>
    </row>
    <row r="42" spans="2:13" ht="13.5" thickBot="1" x14ac:dyDescent="0.25">
      <c r="B42" s="118"/>
      <c r="C42" s="119"/>
      <c r="D42" s="119"/>
      <c r="E42" s="119"/>
      <c r="F42" s="119"/>
      <c r="G42" s="221"/>
      <c r="H42" s="221"/>
      <c r="I42" s="131"/>
      <c r="J42" s="140"/>
      <c r="K42" s="119"/>
      <c r="L42" s="119"/>
      <c r="M42" s="120"/>
    </row>
    <row r="43" spans="2:13" ht="13.5" thickTop="1" x14ac:dyDescent="0.2">
      <c r="B43" s="180"/>
      <c r="C43" s="180"/>
      <c r="D43" s="180"/>
      <c r="E43" s="180"/>
      <c r="F43" s="180"/>
      <c r="G43" s="180"/>
      <c r="H43" s="180"/>
      <c r="I43" s="180"/>
    </row>
    <row r="44" spans="2:13" x14ac:dyDescent="0.2">
      <c r="B44" s="176" t="s">
        <v>171</v>
      </c>
      <c r="C44" s="176"/>
      <c r="D44" s="176"/>
      <c r="E44" s="176"/>
      <c r="F44" s="176"/>
      <c r="G44" s="176"/>
      <c r="H44" s="176"/>
      <c r="I44" s="176"/>
    </row>
    <row r="45" spans="2:13" ht="13.15" customHeight="1" x14ac:dyDescent="0.2">
      <c r="B45" s="208" t="s">
        <v>227</v>
      </c>
      <c r="C45" s="180"/>
      <c r="D45" s="180"/>
      <c r="E45" s="180"/>
      <c r="F45" s="180"/>
      <c r="G45" s="180"/>
      <c r="H45" s="180"/>
      <c r="I45" s="180"/>
      <c r="J45" s="209"/>
      <c r="K45" s="209"/>
      <c r="L45" s="209"/>
      <c r="M45" s="209"/>
    </row>
    <row r="46" spans="2:13" ht="12.75" customHeight="1" x14ac:dyDescent="0.2">
      <c r="B46" s="208" t="s">
        <v>184</v>
      </c>
      <c r="C46" s="180"/>
      <c r="D46" s="180"/>
      <c r="E46" s="180"/>
      <c r="F46" s="180"/>
      <c r="G46" s="180"/>
      <c r="H46" s="180"/>
      <c r="I46" s="180"/>
      <c r="J46" s="209"/>
      <c r="K46" s="209"/>
      <c r="L46" s="209"/>
      <c r="M46" s="209"/>
    </row>
    <row r="47" spans="2:13" ht="12.75" customHeight="1" x14ac:dyDescent="0.2">
      <c r="B47" s="208" t="s">
        <v>174</v>
      </c>
      <c r="C47" s="180"/>
      <c r="D47" s="180"/>
      <c r="E47" s="180"/>
      <c r="F47" s="180"/>
      <c r="G47" s="180"/>
      <c r="H47" s="180"/>
      <c r="I47" s="180"/>
      <c r="J47" s="209"/>
      <c r="K47" s="209"/>
      <c r="L47" s="209"/>
      <c r="M47" s="209"/>
    </row>
    <row r="48" spans="2:13" hidden="1" x14ac:dyDescent="0.2">
      <c r="F48">
        <v>5</v>
      </c>
      <c r="G48" t="s">
        <v>101</v>
      </c>
    </row>
    <row r="49" spans="2:17" hidden="1" x14ac:dyDescent="0.2">
      <c r="F49">
        <v>6</v>
      </c>
      <c r="G49" t="s">
        <v>59</v>
      </c>
    </row>
    <row r="50" spans="2:17" hidden="1" x14ac:dyDescent="0.2">
      <c r="F50">
        <v>7</v>
      </c>
    </row>
    <row r="51" spans="2:17" hidden="1" x14ac:dyDescent="0.2">
      <c r="F51">
        <v>8</v>
      </c>
    </row>
    <row r="52" spans="2:17" ht="14.25" x14ac:dyDescent="0.2">
      <c r="B52" s="208"/>
      <c r="C52" s="180"/>
      <c r="D52" s="180"/>
      <c r="E52" s="180"/>
      <c r="F52" s="180"/>
      <c r="G52" s="180"/>
      <c r="H52" s="180"/>
      <c r="I52" s="180"/>
      <c r="J52" s="209"/>
      <c r="K52" s="209"/>
      <c r="L52" s="209"/>
      <c r="M52" s="209"/>
    </row>
    <row r="53" spans="2:17" x14ac:dyDescent="0.2">
      <c r="B53" s="210" t="s">
        <v>228</v>
      </c>
      <c r="C53" s="180"/>
      <c r="D53" s="180"/>
      <c r="E53" s="180"/>
      <c r="F53" s="180"/>
      <c r="G53" s="180"/>
      <c r="H53" s="180"/>
      <c r="I53" s="180"/>
      <c r="J53" s="209"/>
      <c r="K53" s="209"/>
      <c r="L53" s="209"/>
      <c r="M53" s="209"/>
    </row>
    <row r="54" spans="2:17" ht="14.25" x14ac:dyDescent="0.2">
      <c r="B54" s="208"/>
      <c r="C54" s="180"/>
      <c r="D54" s="180"/>
      <c r="E54" s="180"/>
      <c r="F54" s="180"/>
      <c r="G54" s="180"/>
      <c r="H54" s="180"/>
      <c r="I54" s="180"/>
      <c r="J54" s="209"/>
      <c r="K54" s="209"/>
      <c r="L54" s="209"/>
      <c r="M54" s="209"/>
    </row>
    <row r="55" spans="2:17" ht="14.25" x14ac:dyDescent="0.2">
      <c r="B55" s="122"/>
      <c r="C55" s="121"/>
      <c r="D55" s="121"/>
      <c r="E55" s="121"/>
      <c r="F55" s="121"/>
      <c r="G55" s="121"/>
      <c r="H55" s="121"/>
      <c r="I55" s="121"/>
      <c r="J55" s="123"/>
      <c r="K55" s="123"/>
      <c r="L55" s="123"/>
      <c r="M55" s="123"/>
    </row>
    <row r="56" spans="2:17" ht="14.25" x14ac:dyDescent="0.2">
      <c r="B56" s="122"/>
      <c r="C56" s="121"/>
      <c r="D56" s="121"/>
      <c r="E56" s="121"/>
      <c r="F56" s="121"/>
      <c r="G56" s="121"/>
      <c r="H56" s="121"/>
      <c r="I56" s="121"/>
      <c r="J56" s="123"/>
      <c r="K56" s="123"/>
      <c r="L56" s="123"/>
      <c r="M56" s="123"/>
    </row>
    <row r="57" spans="2:17" ht="14.25" x14ac:dyDescent="0.2">
      <c r="B57" s="122"/>
      <c r="C57" s="121"/>
      <c r="D57" s="121"/>
      <c r="E57" s="121"/>
      <c r="F57" s="121"/>
      <c r="G57" s="121"/>
      <c r="H57" s="121"/>
      <c r="I57" s="121"/>
      <c r="J57" s="123"/>
      <c r="K57" s="123"/>
      <c r="L57" s="123"/>
      <c r="M57" s="123"/>
    </row>
    <row r="58" spans="2:17" ht="14.25" x14ac:dyDescent="0.2">
      <c r="B58" s="122"/>
      <c r="C58" s="121"/>
      <c r="D58" s="121"/>
      <c r="E58" s="121"/>
      <c r="F58" s="121"/>
      <c r="G58" s="121"/>
      <c r="H58" s="121"/>
      <c r="I58" s="121"/>
      <c r="J58" s="123"/>
      <c r="K58" s="123"/>
      <c r="L58" s="123"/>
      <c r="M58" s="123"/>
    </row>
    <row r="59" spans="2:17" ht="14.25" x14ac:dyDescent="0.2">
      <c r="B59" s="122"/>
      <c r="C59" s="121"/>
      <c r="D59" s="121"/>
      <c r="E59" s="121"/>
      <c r="F59" s="121"/>
      <c r="G59" s="121"/>
      <c r="H59" s="121"/>
      <c r="I59" s="121"/>
      <c r="J59" s="123"/>
      <c r="K59" s="123"/>
      <c r="L59" s="123"/>
      <c r="M59" s="123"/>
    </row>
    <row r="60" spans="2:17" ht="14.25" x14ac:dyDescent="0.2">
      <c r="B60" s="208"/>
      <c r="C60" s="180"/>
      <c r="D60" s="180"/>
      <c r="E60" s="180"/>
      <c r="F60" s="180"/>
      <c r="G60" s="180"/>
      <c r="H60" s="180"/>
      <c r="I60" s="180"/>
      <c r="J60" s="209"/>
      <c r="K60" s="209"/>
      <c r="L60" s="209"/>
      <c r="M60" s="209"/>
    </row>
    <row r="61" spans="2:17" hidden="1" x14ac:dyDescent="0.2">
      <c r="O61" s="24" t="s">
        <v>220</v>
      </c>
      <c r="P61" s="24"/>
      <c r="Q61" s="151">
        <v>5</v>
      </c>
    </row>
    <row r="62" spans="2:17" hidden="1" x14ac:dyDescent="0.2">
      <c r="O62" s="24" t="s">
        <v>221</v>
      </c>
      <c r="P62" s="24"/>
      <c r="Q62" s="152">
        <f>(M14+M15+'Mach(Sorg)'!U42)/J6</f>
        <v>0.43317425360222622</v>
      </c>
    </row>
  </sheetData>
  <sheetProtection algorithmName="SHA-512" hashValue="gum1SJj1/d+bN38s8LRvYJ4JOtL2NtG4Ph25cPEZt2NK05Pi3W5DdXk88HrY+29TNa/Obp+aLIiNPRA6kyTG7Q==" saltValue="QkhNJIi73EZ3+eUYW80Miw==" spinCount="100000" sheet="1" objects="1" scenarios="1" formatCells="0" formatColumns="0" formatRows="0"/>
  <mergeCells count="53">
    <mergeCell ref="B52:M52"/>
    <mergeCell ref="B53:M53"/>
    <mergeCell ref="B54:M54"/>
    <mergeCell ref="B60:M60"/>
    <mergeCell ref="P14:P18"/>
    <mergeCell ref="B45:M45"/>
    <mergeCell ref="B46:M46"/>
    <mergeCell ref="B47:M47"/>
    <mergeCell ref="D19:E19"/>
    <mergeCell ref="J19:K19"/>
    <mergeCell ref="F19:I19"/>
    <mergeCell ref="L19:M19"/>
    <mergeCell ref="G42:H42"/>
    <mergeCell ref="G20:G23"/>
    <mergeCell ref="H20:H23"/>
    <mergeCell ref="G24:H24"/>
    <mergeCell ref="O11:Q11"/>
    <mergeCell ref="O12:Q12"/>
    <mergeCell ref="O19:Q19"/>
    <mergeCell ref="J2:M2"/>
    <mergeCell ref="B40:H40"/>
    <mergeCell ref="B2:I2"/>
    <mergeCell ref="G4:H4"/>
    <mergeCell ref="G6:H6"/>
    <mergeCell ref="G8:H8"/>
    <mergeCell ref="D5:I5"/>
    <mergeCell ref="G3:H3"/>
    <mergeCell ref="G15:H15"/>
    <mergeCell ref="G28:H28"/>
    <mergeCell ref="G25:H25"/>
    <mergeCell ref="G17:H17"/>
    <mergeCell ref="G9:H9"/>
    <mergeCell ref="G12:H12"/>
    <mergeCell ref="G13:H13"/>
    <mergeCell ref="G14:H14"/>
    <mergeCell ref="G16:H16"/>
    <mergeCell ref="D11:I11"/>
    <mergeCell ref="G27:H27"/>
    <mergeCell ref="B44:I44"/>
    <mergeCell ref="G41:H41"/>
    <mergeCell ref="G7:H7"/>
    <mergeCell ref="B43:I43"/>
    <mergeCell ref="G36:H37"/>
    <mergeCell ref="G38:H38"/>
    <mergeCell ref="G39:H39"/>
    <mergeCell ref="D35:I35"/>
    <mergeCell ref="B33:H33"/>
    <mergeCell ref="G34:H34"/>
    <mergeCell ref="G29:H29"/>
    <mergeCell ref="G31:H31"/>
    <mergeCell ref="G32:H32"/>
    <mergeCell ref="G18:H18"/>
    <mergeCell ref="G10:H10"/>
  </mergeCells>
  <phoneticPr fontId="6" type="noConversion"/>
  <dataValidations count="2">
    <dataValidation type="list" allowBlank="1" showInputMessage="1" showErrorMessage="1" sqref="H20:H23">
      <formula1>$G$48:$G$49</formula1>
    </dataValidation>
    <dataValidation type="list" allowBlank="1" showInputMessage="1" showErrorMessage="1" sqref="H30">
      <formula1>$F$48:$F$51</formula1>
    </dataValidation>
  </dataValidations>
  <pageMargins left="0.75" right="0.75" top="1" bottom="1" header="0.5" footer="0.5"/>
  <pageSetup scale="88" orientation="portrait" horizontalDpi="4294967295" verticalDpi="4294967295" r:id="rId1"/>
  <headerFooter alignWithMargins="0"/>
  <ignoredErrors>
    <ignoredError sqref="I26" formula="1"/>
    <ignoredError sqref="J14:J15 J17"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workbookViewId="0">
      <pane ySplit="16" topLeftCell="A24" activePane="bottomLeft" state="frozen"/>
      <selection activeCell="H25" sqref="H25"/>
      <selection pane="bottomLeft" activeCell="A9" sqref="A9:D9"/>
    </sheetView>
  </sheetViews>
  <sheetFormatPr defaultRowHeight="12.75" x14ac:dyDescent="0.2"/>
  <cols>
    <col min="1" max="1" width="32.42578125" customWidth="1"/>
    <col min="4" max="4" width="9.7109375" customWidth="1"/>
    <col min="5" max="5" width="8.5703125" customWidth="1"/>
    <col min="6" max="6" width="7.85546875" customWidth="1"/>
    <col min="7" max="7" width="9" customWidth="1"/>
    <col min="8" max="8" width="7.5703125" customWidth="1"/>
    <col min="9" max="10" width="7.140625" customWidth="1"/>
    <col min="11" max="11" width="0" hidden="1" customWidth="1"/>
    <col min="12" max="12" width="8.42578125" hidden="1" customWidth="1"/>
    <col min="13" max="13" width="8.7109375" hidden="1" customWidth="1"/>
    <col min="14" max="14" width="4.7109375" customWidth="1"/>
    <col min="15" max="15" width="8.5703125" customWidth="1"/>
    <col min="16" max="16" width="8.140625" customWidth="1"/>
    <col min="17" max="17" width="8.7109375" customWidth="1"/>
    <col min="18" max="18" width="8.42578125" customWidth="1"/>
    <col min="19" max="19" width="8.5703125" customWidth="1"/>
    <col min="20" max="20" width="8.42578125" customWidth="1"/>
  </cols>
  <sheetData>
    <row r="1" spans="1:20" ht="18" x14ac:dyDescent="0.25">
      <c r="A1" s="228" t="s">
        <v>131</v>
      </c>
      <c r="B1" s="229"/>
      <c r="C1" s="229"/>
      <c r="D1" s="229"/>
      <c r="E1" s="229"/>
      <c r="F1" s="229"/>
      <c r="G1" s="229"/>
      <c r="H1" s="229"/>
      <c r="I1" s="229"/>
      <c r="J1" s="229"/>
      <c r="K1" s="229"/>
      <c r="L1" s="229"/>
      <c r="M1" s="229"/>
      <c r="N1" s="229"/>
      <c r="O1" s="229"/>
      <c r="P1" s="229"/>
      <c r="Q1" s="229"/>
      <c r="R1" s="229"/>
      <c r="S1" s="229"/>
      <c r="T1" s="230"/>
    </row>
    <row r="2" spans="1:20" x14ac:dyDescent="0.2">
      <c r="A2" s="4" t="s">
        <v>192</v>
      </c>
      <c r="B2" s="101">
        <v>2</v>
      </c>
      <c r="C2" s="4"/>
      <c r="D2" s="54"/>
      <c r="E2" s="231" t="s">
        <v>121</v>
      </c>
      <c r="F2" s="186"/>
      <c r="G2" s="186"/>
      <c r="H2" s="186"/>
      <c r="I2" s="186"/>
      <c r="J2" s="186"/>
      <c r="K2" s="186"/>
      <c r="L2" s="186"/>
      <c r="M2" s="186"/>
      <c r="N2" s="186"/>
      <c r="O2" s="186"/>
      <c r="P2" s="186"/>
      <c r="Q2" s="186"/>
      <c r="R2" s="186"/>
      <c r="S2" s="186"/>
      <c r="T2" s="169"/>
    </row>
    <row r="3" spans="1:20" x14ac:dyDescent="0.2">
      <c r="A3" s="30" t="s">
        <v>198</v>
      </c>
      <c r="B3" s="31">
        <f>'Machinery Calculations'!C6</f>
        <v>2</v>
      </c>
      <c r="C3" s="17"/>
      <c r="D3" s="47"/>
      <c r="E3" s="226" t="s">
        <v>109</v>
      </c>
      <c r="F3" s="186"/>
      <c r="G3" s="186"/>
      <c r="H3" s="186"/>
      <c r="I3" s="186"/>
      <c r="J3" s="186"/>
      <c r="K3" s="186"/>
      <c r="L3" s="186"/>
      <c r="M3" s="186"/>
      <c r="N3" s="186"/>
      <c r="O3" s="186"/>
      <c r="P3" s="186"/>
      <c r="Q3" s="186"/>
      <c r="R3" s="186"/>
      <c r="S3" s="186"/>
      <c r="T3" s="169"/>
    </row>
    <row r="4" spans="1:20" x14ac:dyDescent="0.2">
      <c r="A4" s="4" t="s">
        <v>77</v>
      </c>
      <c r="B4" s="31">
        <f>'Machinery Calculations'!C7</f>
        <v>12.5</v>
      </c>
      <c r="C4" s="17"/>
      <c r="D4" s="47"/>
      <c r="E4" s="226" t="s">
        <v>111</v>
      </c>
      <c r="F4" s="186"/>
      <c r="G4" s="186"/>
      <c r="H4" s="186"/>
      <c r="I4" s="186"/>
      <c r="J4" s="186"/>
      <c r="K4" s="186"/>
      <c r="L4" s="186"/>
      <c r="M4" s="186"/>
      <c r="N4" s="186"/>
      <c r="O4" s="186"/>
      <c r="P4" s="186"/>
      <c r="Q4" s="186"/>
      <c r="R4" s="186"/>
      <c r="S4" s="186"/>
      <c r="T4" s="169"/>
    </row>
    <row r="5" spans="1:20" x14ac:dyDescent="0.2">
      <c r="A5" s="4" t="s">
        <v>126</v>
      </c>
      <c r="B5" s="31" t="str">
        <f>'Machinery Calculations'!C8</f>
        <v>Y</v>
      </c>
      <c r="C5" s="17"/>
      <c r="D5" s="47"/>
      <c r="E5" s="226" t="s">
        <v>117</v>
      </c>
      <c r="F5" s="186"/>
      <c r="G5" s="186"/>
      <c r="H5" s="186"/>
      <c r="I5" s="186"/>
      <c r="J5" s="186"/>
      <c r="K5" s="186"/>
      <c r="L5" s="186"/>
      <c r="M5" s="186"/>
      <c r="N5" s="186"/>
      <c r="O5" s="186"/>
      <c r="P5" s="186"/>
      <c r="Q5" s="186"/>
      <c r="R5" s="186"/>
      <c r="S5" s="186"/>
      <c r="T5" s="169"/>
    </row>
    <row r="6" spans="1:20" x14ac:dyDescent="0.2">
      <c r="A6" s="4" t="s">
        <v>78</v>
      </c>
      <c r="B6" s="31">
        <f>'Machinery Calculations'!C9</f>
        <v>12.5</v>
      </c>
      <c r="C6" s="17"/>
      <c r="D6" s="47"/>
      <c r="E6" s="226" t="s">
        <v>110</v>
      </c>
      <c r="F6" s="186"/>
      <c r="G6" s="186"/>
      <c r="H6" s="186"/>
      <c r="I6" s="186"/>
      <c r="J6" s="186"/>
      <c r="K6" s="186"/>
      <c r="L6" s="186"/>
      <c r="M6" s="186"/>
      <c r="N6" s="186"/>
      <c r="O6" s="186"/>
      <c r="P6" s="186"/>
      <c r="Q6" s="186"/>
      <c r="R6" s="186"/>
      <c r="S6" s="186"/>
      <c r="T6" s="169"/>
    </row>
    <row r="7" spans="1:20" x14ac:dyDescent="0.2">
      <c r="A7" s="4" t="s">
        <v>79</v>
      </c>
      <c r="B7" s="58">
        <f>'Machinery Calculations'!C10</f>
        <v>0</v>
      </c>
      <c r="C7" s="17"/>
      <c r="D7" s="47"/>
      <c r="E7" s="226" t="s">
        <v>118</v>
      </c>
      <c r="F7" s="186"/>
      <c r="G7" s="186"/>
      <c r="H7" s="186"/>
      <c r="I7" s="186"/>
      <c r="J7" s="186"/>
      <c r="K7" s="186"/>
      <c r="L7" s="186"/>
      <c r="M7" s="186"/>
      <c r="N7" s="186"/>
      <c r="O7" s="186"/>
      <c r="P7" s="186"/>
      <c r="Q7" s="186"/>
      <c r="R7" s="186"/>
      <c r="S7" s="186"/>
      <c r="T7" s="169"/>
    </row>
    <row r="8" spans="1:20" x14ac:dyDescent="0.2">
      <c r="A8" s="4" t="s">
        <v>114</v>
      </c>
      <c r="B8" s="59">
        <f>'Sorghum-Corn'!D19</f>
        <v>25</v>
      </c>
      <c r="C8" s="17"/>
      <c r="D8" s="47"/>
      <c r="E8" s="226" t="s">
        <v>130</v>
      </c>
      <c r="F8" s="186"/>
      <c r="G8" s="186"/>
      <c r="H8" s="186"/>
      <c r="I8" s="186"/>
      <c r="J8" s="186"/>
      <c r="K8" s="186"/>
      <c r="L8" s="186"/>
      <c r="M8" s="186"/>
      <c r="N8" s="186"/>
      <c r="O8" s="186"/>
      <c r="P8" s="186"/>
      <c r="Q8" s="186"/>
      <c r="R8" s="186"/>
      <c r="S8" s="186"/>
      <c r="T8" s="169"/>
    </row>
    <row r="9" spans="1:20" x14ac:dyDescent="0.2">
      <c r="A9" s="227" t="s">
        <v>115</v>
      </c>
      <c r="B9" s="186"/>
      <c r="C9" s="186"/>
      <c r="D9" s="169"/>
      <c r="E9" s="226" t="s">
        <v>119</v>
      </c>
      <c r="F9" s="186"/>
      <c r="G9" s="186"/>
      <c r="H9" s="186"/>
      <c r="I9" s="186"/>
      <c r="J9" s="186"/>
      <c r="K9" s="186"/>
      <c r="L9" s="186"/>
      <c r="M9" s="186"/>
      <c r="N9" s="186"/>
      <c r="O9" s="186"/>
      <c r="P9" s="186"/>
      <c r="Q9" s="186"/>
      <c r="R9" s="186"/>
      <c r="S9" s="186"/>
      <c r="T9" s="169"/>
    </row>
    <row r="10" spans="1:20" x14ac:dyDescent="0.2">
      <c r="A10" s="227" t="s">
        <v>116</v>
      </c>
      <c r="B10" s="186"/>
      <c r="C10" s="186"/>
      <c r="D10" s="169"/>
      <c r="E10" s="226" t="s">
        <v>132</v>
      </c>
      <c r="F10" s="186"/>
      <c r="G10" s="186"/>
      <c r="H10" s="186"/>
      <c r="I10" s="186"/>
      <c r="J10" s="186"/>
      <c r="K10" s="186"/>
      <c r="L10" s="186"/>
      <c r="M10" s="186"/>
      <c r="N10" s="186"/>
      <c r="O10" s="186"/>
      <c r="P10" s="186"/>
      <c r="Q10" s="186"/>
      <c r="R10" s="186"/>
      <c r="S10" s="186"/>
      <c r="T10" s="169"/>
    </row>
    <row r="11" spans="1:20" x14ac:dyDescent="0.2">
      <c r="A11" s="227" t="s">
        <v>129</v>
      </c>
      <c r="B11" s="186"/>
      <c r="C11" s="186"/>
      <c r="D11" s="169"/>
      <c r="E11" s="226" t="s">
        <v>133</v>
      </c>
      <c r="F11" s="186"/>
      <c r="G11" s="186"/>
      <c r="H11" s="186"/>
      <c r="I11" s="186"/>
      <c r="J11" s="186"/>
      <c r="K11" s="186"/>
      <c r="L11" s="186"/>
      <c r="M11" s="186"/>
      <c r="N11" s="186"/>
      <c r="O11" s="186"/>
      <c r="P11" s="186"/>
      <c r="Q11" s="186"/>
      <c r="R11" s="186"/>
      <c r="S11" s="186"/>
      <c r="T11" s="169"/>
    </row>
    <row r="12" spans="1:20" hidden="1" x14ac:dyDescent="0.2">
      <c r="A12" s="4" t="s">
        <v>92</v>
      </c>
      <c r="B12" s="18">
        <v>0.33</v>
      </c>
      <c r="C12" s="18"/>
      <c r="D12" s="48"/>
      <c r="E12" s="207"/>
      <c r="F12" s="186"/>
      <c r="G12" s="186"/>
      <c r="H12" s="186"/>
      <c r="I12" s="186"/>
      <c r="J12" s="186"/>
      <c r="K12" s="186"/>
      <c r="L12" s="186"/>
      <c r="M12" s="186"/>
      <c r="N12" s="186"/>
      <c r="O12" s="186"/>
      <c r="P12" s="186"/>
      <c r="Q12" s="186"/>
      <c r="R12" s="186"/>
      <c r="S12" s="186"/>
      <c r="T12" s="169"/>
    </row>
    <row r="13" spans="1:20" ht="13.15" customHeight="1" x14ac:dyDescent="0.2">
      <c r="A13" s="4"/>
      <c r="B13" s="55"/>
      <c r="C13" s="55"/>
      <c r="D13" s="55"/>
      <c r="E13" s="232" t="s">
        <v>112</v>
      </c>
      <c r="F13" s="233"/>
      <c r="G13" s="233"/>
      <c r="H13" s="233"/>
      <c r="I13" s="233"/>
      <c r="J13" s="233"/>
      <c r="K13" s="233"/>
      <c r="L13" s="233"/>
      <c r="M13" s="233"/>
      <c r="N13" s="234"/>
      <c r="O13" s="241" t="s">
        <v>107</v>
      </c>
      <c r="P13" s="242"/>
      <c r="Q13" s="242"/>
      <c r="R13" s="242"/>
      <c r="S13" s="242"/>
      <c r="T13" s="243"/>
    </row>
    <row r="14" spans="1:20" x14ac:dyDescent="0.2">
      <c r="A14" s="4" t="s">
        <v>170</v>
      </c>
      <c r="B14" s="83">
        <v>0.75</v>
      </c>
      <c r="C14" s="55"/>
      <c r="D14" s="55"/>
      <c r="E14" s="235"/>
      <c r="F14" s="209"/>
      <c r="G14" s="209"/>
      <c r="H14" s="209"/>
      <c r="I14" s="209"/>
      <c r="J14" s="209"/>
      <c r="K14" s="209"/>
      <c r="L14" s="209"/>
      <c r="M14" s="209"/>
      <c r="N14" s="236"/>
      <c r="O14" s="60" t="str">
        <f>'Machinery Calculations'!$C4</f>
        <v>Increase</v>
      </c>
      <c r="P14" s="60" t="str">
        <f>'Machinery Calculations'!$C4</f>
        <v>Increase</v>
      </c>
      <c r="Q14" s="60" t="str">
        <f>'Machinery Calculations'!$C4</f>
        <v>Increase</v>
      </c>
      <c r="R14" s="60" t="str">
        <f>'Machinery Calculations'!$C4</f>
        <v>Increase</v>
      </c>
      <c r="S14" s="60" t="str">
        <f>'Machinery Calculations'!$C4</f>
        <v>Increase</v>
      </c>
      <c r="T14" s="60" t="str">
        <f>'Machinery Calculations'!$C4</f>
        <v>Increase</v>
      </c>
    </row>
    <row r="15" spans="1:20" x14ac:dyDescent="0.2">
      <c r="A15" s="4"/>
      <c r="B15" s="55"/>
      <c r="C15" s="55"/>
      <c r="D15" s="55"/>
      <c r="E15" s="237"/>
      <c r="F15" s="238"/>
      <c r="G15" s="238"/>
      <c r="H15" s="238"/>
      <c r="I15" s="238"/>
      <c r="J15" s="238"/>
      <c r="K15" s="238"/>
      <c r="L15" s="238"/>
      <c r="M15" s="238"/>
      <c r="N15" s="239"/>
      <c r="O15" s="58">
        <f>'Machinery Calculations'!$C5</f>
        <v>0.2</v>
      </c>
      <c r="P15" s="58">
        <f>'Machinery Calculations'!$C5</f>
        <v>0.2</v>
      </c>
      <c r="Q15" s="58">
        <f>'Machinery Calculations'!$C5</f>
        <v>0.2</v>
      </c>
      <c r="R15" s="58">
        <f>'Machinery Calculations'!$C5</f>
        <v>0.2</v>
      </c>
      <c r="S15" s="58">
        <f>'Machinery Calculations'!$C5</f>
        <v>0.2</v>
      </c>
      <c r="T15" s="58">
        <f>'Machinery Calculations'!$C5</f>
        <v>0.2</v>
      </c>
    </row>
    <row r="16" spans="1:20" s="1" customFormat="1" ht="43.15" customHeight="1" x14ac:dyDescent="0.2">
      <c r="A16" s="3" t="s">
        <v>0</v>
      </c>
      <c r="B16" s="38" t="s">
        <v>1</v>
      </c>
      <c r="C16" s="38" t="s">
        <v>120</v>
      </c>
      <c r="D16" s="38" t="s">
        <v>128</v>
      </c>
      <c r="E16" s="100" t="s">
        <v>197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
      <c r="A17" s="4"/>
      <c r="B17" s="39"/>
      <c r="C17" s="37"/>
      <c r="D17" s="49"/>
      <c r="E17" s="4"/>
      <c r="F17" s="4"/>
      <c r="G17" s="4"/>
      <c r="H17" s="4"/>
      <c r="I17" s="4"/>
      <c r="J17" s="4"/>
      <c r="K17" s="4"/>
      <c r="L17" s="4"/>
      <c r="M17" s="4"/>
      <c r="N17" s="4"/>
      <c r="O17" s="4"/>
      <c r="P17" s="4"/>
      <c r="Q17" s="4"/>
      <c r="R17" s="4"/>
      <c r="S17" s="4"/>
      <c r="T17" s="4"/>
    </row>
    <row r="18" spans="1:20" x14ac:dyDescent="0.2">
      <c r="A18" s="13" t="s">
        <v>11</v>
      </c>
      <c r="B18" s="40"/>
      <c r="C18" s="41"/>
      <c r="D18" s="50"/>
      <c r="E18" s="9"/>
      <c r="F18" s="9"/>
      <c r="G18" s="12"/>
      <c r="H18" s="12"/>
      <c r="I18" s="4"/>
      <c r="J18" s="4"/>
      <c r="K18" s="4"/>
      <c r="L18" s="4"/>
      <c r="M18" s="4"/>
      <c r="N18" s="4"/>
      <c r="O18" s="4"/>
      <c r="P18" s="4"/>
      <c r="Q18" s="4"/>
      <c r="R18" s="4"/>
      <c r="S18" s="4"/>
      <c r="T18" s="4"/>
    </row>
    <row r="19" spans="1:20" x14ac:dyDescent="0.2">
      <c r="A19" s="12" t="s">
        <v>14</v>
      </c>
      <c r="B19" s="42"/>
      <c r="C19" s="43"/>
      <c r="D19" s="51"/>
      <c r="E19" s="9">
        <v>15.129285653625832</v>
      </c>
      <c r="F19" s="9">
        <f t="shared" ref="F19:F21" si="0">IF(D19&gt;0,D19,E19-(G19*B$2*1.05)+H19-I19*12.5+J19)</f>
        <v>15.129285653625832</v>
      </c>
      <c r="G19" s="14">
        <v>0.90200000000000002</v>
      </c>
      <c r="H19" s="5">
        <f t="shared" ref="H19:H21" si="1">G19*B$3*1.05</f>
        <v>1.8942000000000001</v>
      </c>
      <c r="I19" s="15">
        <v>0.13191919191919191</v>
      </c>
      <c r="J19" s="5">
        <f t="shared" ref="J19:J21" si="2">I19*B$4</f>
        <v>1.6489898989898988</v>
      </c>
      <c r="K19" s="5">
        <f t="shared" ref="K19:K21" si="3">F19-H19-J19</f>
        <v>11.586095754635934</v>
      </c>
      <c r="L19" s="5">
        <f t="shared" ref="L19:L21" si="4">K19*B$12</f>
        <v>3.8234115990298587</v>
      </c>
      <c r="M19" s="5">
        <f t="shared" ref="M19:M21" si="5">K19-L19</f>
        <v>7.7626841556060757</v>
      </c>
      <c r="N19" s="4"/>
      <c r="O19" s="32">
        <f t="shared" ref="O19:O21" si="6">IF(O$14="Increase",IF(C19="y",0,IF($B19&gt;0,H19*$B19*(1+O$15),0)),IF(C19="y",0,IF($B19&gt;0,H19*$B19*(1-O$15),0)))</f>
        <v>0</v>
      </c>
      <c r="P19" s="32">
        <f t="shared" ref="P19:P21" si="7">IF(P$14="Increase",IF(C19="y",0,IF($B19&gt;0,(I19*B$4*(1-B$7))*$B19*(1+P$15),0)),IF(C19="y",0,IF($B19&gt;0,(I19*B$4*(1-B$7))*$B19*(1-P$15),0)))</f>
        <v>0</v>
      </c>
      <c r="Q19" s="32">
        <f t="shared" ref="Q19:Q21" si="8">IF(Q$14="Increase",IF(C19="y",0,IF($B19&gt;0,(I19*B$6*(B$7))*$B19*(1+Q$15),0)),IF(C19="y",0,IF($B19&gt;0,(I19*B$6*(B$7))*$B19*(1-Q$15),0)))</f>
        <v>0</v>
      </c>
      <c r="R19" s="32">
        <f t="shared" ref="R19:R21" si="9">IF(R$14="Increase",IF(C19="y",0,IF($B19&gt;0,L19*$B19*(1+R$15),0)),IF(C19="y",0,IF($B19&gt;0,L19*$B19*(1-R$15),0)))</f>
        <v>0</v>
      </c>
      <c r="S19" s="32">
        <f t="shared" ref="S19:S21" si="10">IF(S$14="Increase",IF(C19="y",0,IF($B19&gt;0,M19*$B19*(1+S$15),0)),IF(C19="y",0,IF($B19&gt;0,M19*$B19*(1-S$15),0)))</f>
        <v>0</v>
      </c>
      <c r="T19" s="32">
        <f t="shared" ref="T19:T21" si="11">IF(T$14="Increase",IF(C19="y",F19*B19*(1+T$15),0),IF(C19="y",F19*B19*(1-T$15),0))</f>
        <v>0</v>
      </c>
    </row>
    <row r="20" spans="1:20" x14ac:dyDescent="0.2">
      <c r="A20" s="12" t="s">
        <v>16</v>
      </c>
      <c r="B20" s="42"/>
      <c r="C20" s="43"/>
      <c r="D20" s="51"/>
      <c r="E20" s="9">
        <v>12.216075838760961</v>
      </c>
      <c r="F20" s="9">
        <f t="shared" si="0"/>
        <v>12.216075838760961</v>
      </c>
      <c r="G20" s="14">
        <v>0.62400000000000011</v>
      </c>
      <c r="H20" s="5">
        <f t="shared" si="1"/>
        <v>1.3104000000000002</v>
      </c>
      <c r="I20" s="15">
        <v>4.631313131313132E-2</v>
      </c>
      <c r="J20" s="5">
        <f t="shared" si="2"/>
        <v>0.57891414141414155</v>
      </c>
      <c r="K20" s="5">
        <f t="shared" si="3"/>
        <v>10.32676169734682</v>
      </c>
      <c r="L20" s="5">
        <f t="shared" si="4"/>
        <v>3.4078313601244505</v>
      </c>
      <c r="M20" s="5">
        <f t="shared" si="5"/>
        <v>6.9189303372223687</v>
      </c>
      <c r="N20" s="4"/>
      <c r="O20" s="32">
        <f t="shared" si="6"/>
        <v>0</v>
      </c>
      <c r="P20" s="32">
        <f t="shared" si="7"/>
        <v>0</v>
      </c>
      <c r="Q20" s="32">
        <f t="shared" si="8"/>
        <v>0</v>
      </c>
      <c r="R20" s="32">
        <f t="shared" si="9"/>
        <v>0</v>
      </c>
      <c r="S20" s="32">
        <f t="shared" si="10"/>
        <v>0</v>
      </c>
      <c r="T20" s="32">
        <f t="shared" si="11"/>
        <v>0</v>
      </c>
    </row>
    <row r="21" spans="1:20" x14ac:dyDescent="0.2">
      <c r="A21" s="12" t="s">
        <v>20</v>
      </c>
      <c r="B21" s="42"/>
      <c r="C21" s="43"/>
      <c r="D21" s="51"/>
      <c r="E21" s="9">
        <v>12.25808807850461</v>
      </c>
      <c r="F21" s="9">
        <f t="shared" si="0"/>
        <v>12.25808807850461</v>
      </c>
      <c r="G21" s="14">
        <v>0.85099999999999998</v>
      </c>
      <c r="H21" s="5">
        <f t="shared" si="1"/>
        <v>1.7871000000000001</v>
      </c>
      <c r="I21" s="15">
        <v>0.14181818181818182</v>
      </c>
      <c r="J21" s="5">
        <f t="shared" si="2"/>
        <v>1.7727272727272727</v>
      </c>
      <c r="K21" s="5">
        <f t="shared" si="3"/>
        <v>8.6982608057773358</v>
      </c>
      <c r="L21" s="5">
        <f t="shared" si="4"/>
        <v>2.8704260659065208</v>
      </c>
      <c r="M21" s="5">
        <f t="shared" si="5"/>
        <v>5.8278347398708146</v>
      </c>
      <c r="N21" s="4"/>
      <c r="O21" s="32">
        <f t="shared" si="6"/>
        <v>0</v>
      </c>
      <c r="P21" s="32">
        <f t="shared" si="7"/>
        <v>0</v>
      </c>
      <c r="Q21" s="32">
        <f t="shared" si="8"/>
        <v>0</v>
      </c>
      <c r="R21" s="32">
        <f t="shared" si="9"/>
        <v>0</v>
      </c>
      <c r="S21" s="32">
        <f t="shared" si="10"/>
        <v>0</v>
      </c>
      <c r="T21" s="32">
        <f t="shared" si="11"/>
        <v>0</v>
      </c>
    </row>
    <row r="22" spans="1:20" x14ac:dyDescent="0.2">
      <c r="A22" s="12"/>
      <c r="B22" s="42"/>
      <c r="C22" s="43"/>
      <c r="D22" s="51"/>
      <c r="E22" s="9"/>
      <c r="F22" s="9"/>
      <c r="G22" s="12"/>
      <c r="H22" s="4"/>
      <c r="I22" s="12"/>
      <c r="J22" s="4"/>
      <c r="K22" s="4"/>
      <c r="L22" s="4"/>
      <c r="M22" s="4"/>
      <c r="N22" s="4"/>
      <c r="O22" s="4"/>
      <c r="P22" s="4"/>
      <c r="Q22" s="4"/>
      <c r="R22" s="4"/>
      <c r="S22" s="4"/>
      <c r="T22" s="4"/>
    </row>
    <row r="23" spans="1:20" x14ac:dyDescent="0.2">
      <c r="A23" s="13" t="s">
        <v>21</v>
      </c>
      <c r="B23" s="42"/>
      <c r="C23" s="43"/>
      <c r="D23" s="51"/>
      <c r="E23" s="9"/>
      <c r="F23" s="9"/>
      <c r="G23" s="12"/>
      <c r="H23" s="4"/>
      <c r="I23" s="12"/>
      <c r="J23" s="4"/>
      <c r="K23" s="4"/>
      <c r="L23" s="4"/>
      <c r="M23" s="4"/>
      <c r="N23" s="4"/>
      <c r="O23" s="4"/>
      <c r="P23" s="4"/>
      <c r="Q23" s="4"/>
      <c r="R23" s="4"/>
      <c r="S23" s="4"/>
      <c r="T23" s="4"/>
    </row>
    <row r="24" spans="1:20" x14ac:dyDescent="0.2">
      <c r="A24" s="12" t="s">
        <v>22</v>
      </c>
      <c r="B24" s="42"/>
      <c r="C24" s="43"/>
      <c r="D24" s="51"/>
      <c r="E24" s="9">
        <v>16.316065715558622</v>
      </c>
      <c r="F24" s="9">
        <f t="shared" ref="F24:F28" si="12">IF(D24&gt;0,D24,E24-(G24*B$2*1.05)+H24-I24*12.5+J24)</f>
        <v>16.316065715558622</v>
      </c>
      <c r="G24" s="14">
        <v>0.47050000000000003</v>
      </c>
      <c r="H24" s="5">
        <f t="shared" ref="H24:H28" si="13">G24*B$3*1.05</f>
        <v>0.98805000000000009</v>
      </c>
      <c r="I24" s="15">
        <v>8.037037037037037E-2</v>
      </c>
      <c r="J24" s="5">
        <f t="shared" ref="J24:J28" si="14">I24*B$4</f>
        <v>1.0046296296296295</v>
      </c>
      <c r="K24" s="5">
        <f t="shared" ref="K24:K28" si="15">F24-H24-J24</f>
        <v>14.323386085928993</v>
      </c>
      <c r="L24" s="5">
        <f t="shared" ref="L24:L28" si="16">K24*B$12</f>
        <v>4.726717408356568</v>
      </c>
      <c r="M24" s="5">
        <f t="shared" ref="M24:M28" si="17">K24-L24</f>
        <v>9.5966686775724241</v>
      </c>
      <c r="N24" s="4"/>
      <c r="O24" s="32">
        <f t="shared" ref="O24:O28" si="18">IF(O$14="Increase",IF(C24="y",0,IF($B24&gt;0,H24*$B24*(1+O$15),0)),IF(C24="y",0,IF($B24&gt;0,H24*$B24*(1-O$15),0)))</f>
        <v>0</v>
      </c>
      <c r="P24" s="32">
        <f t="shared" ref="P24:P28" si="19">IF(P$14="Increase",IF(C24="y",0,IF($B24&gt;0,(I24*B$4*(1-B$7))*$B24*(1+P$15),0)),IF(C24="y",0,IF($B24&gt;0,(I24*B$4*(1-B$7))*$B24*(1-P$15),0)))</f>
        <v>0</v>
      </c>
      <c r="Q24" s="32">
        <f t="shared" ref="Q24:Q28" si="20">IF(Q$14="Increase",IF(C24="y",0,IF($B24&gt;0,(I24*B$6*(B$7))*$B24*(1+Q$15),0)),IF(C24="y",0,IF($B24&gt;0,(I24*B$6*(B$7))*$B24*(1-Q$15),0)))</f>
        <v>0</v>
      </c>
      <c r="R24" s="32">
        <f t="shared" ref="R24:R28" si="21">IF(R$14="Increase",IF(C24="y",0,IF($B24&gt;0,L24*$B24*(1+R$15),0)),IF(C24="y",0,IF($B24&gt;0,L24*$B24*(1-R$15),0)))</f>
        <v>0</v>
      </c>
      <c r="S24" s="32">
        <f t="shared" ref="S24:S28" si="22">IF(S$14="Increase",IF(C24="y",0,IF($B24&gt;0,M24*$B24*(1+S$15),0)),IF(C24="y",0,IF($B24&gt;0,M24*$B24*(1-S$15),0)))</f>
        <v>0</v>
      </c>
      <c r="T24" s="32">
        <f t="shared" ref="T24:T28" si="23">IF(T$14="Increase",IF(C24="y",F24*B24*(1+T$15),0),IF(C24="y",F24*B24*(1-T$15),0))</f>
        <v>0</v>
      </c>
    </row>
    <row r="25" spans="1:20" x14ac:dyDescent="0.2">
      <c r="A25" s="12" t="s">
        <v>26</v>
      </c>
      <c r="B25" s="42"/>
      <c r="C25" s="43"/>
      <c r="D25" s="51"/>
      <c r="E25" s="9">
        <v>17.593679932287706</v>
      </c>
      <c r="F25" s="9">
        <f t="shared" si="12"/>
        <v>17.593679932287706</v>
      </c>
      <c r="G25" s="14">
        <v>0.52550000000000008</v>
      </c>
      <c r="H25" s="5">
        <f t="shared" si="13"/>
        <v>1.1035500000000003</v>
      </c>
      <c r="I25" s="15">
        <v>9.1481481481481469E-2</v>
      </c>
      <c r="J25" s="5">
        <f t="shared" si="14"/>
        <v>1.1435185185185184</v>
      </c>
      <c r="K25" s="5">
        <f t="shared" si="15"/>
        <v>15.346611413769189</v>
      </c>
      <c r="L25" s="5">
        <f t="shared" si="16"/>
        <v>5.0643817665438329</v>
      </c>
      <c r="M25" s="5">
        <f t="shared" si="17"/>
        <v>10.282229647225357</v>
      </c>
      <c r="N25" s="4"/>
      <c r="O25" s="32">
        <f t="shared" si="18"/>
        <v>0</v>
      </c>
      <c r="P25" s="32">
        <f t="shared" si="19"/>
        <v>0</v>
      </c>
      <c r="Q25" s="32">
        <f t="shared" si="20"/>
        <v>0</v>
      </c>
      <c r="R25" s="32">
        <f t="shared" si="21"/>
        <v>0</v>
      </c>
      <c r="S25" s="32">
        <f t="shared" si="22"/>
        <v>0</v>
      </c>
      <c r="T25" s="32">
        <f t="shared" si="23"/>
        <v>0</v>
      </c>
    </row>
    <row r="26" spans="1:20" x14ac:dyDescent="0.2">
      <c r="A26" s="12" t="s">
        <v>27</v>
      </c>
      <c r="B26" s="42"/>
      <c r="C26" s="43"/>
      <c r="D26" s="51"/>
      <c r="E26" s="9">
        <v>17.125018751218185</v>
      </c>
      <c r="F26" s="9">
        <f t="shared" si="12"/>
        <v>17.125018751218185</v>
      </c>
      <c r="G26" s="14">
        <v>0.52550000000000008</v>
      </c>
      <c r="H26" s="5">
        <f t="shared" si="13"/>
        <v>1.1035500000000003</v>
      </c>
      <c r="I26" s="15">
        <v>9.1481481481481469E-2</v>
      </c>
      <c r="J26" s="5">
        <f t="shared" si="14"/>
        <v>1.1435185185185184</v>
      </c>
      <c r="K26" s="5">
        <f t="shared" si="15"/>
        <v>14.877950232699668</v>
      </c>
      <c r="L26" s="5">
        <f t="shared" si="16"/>
        <v>4.9097235767908902</v>
      </c>
      <c r="M26" s="5">
        <f t="shared" si="17"/>
        <v>9.9682266559087775</v>
      </c>
      <c r="N26" s="4"/>
      <c r="O26" s="32">
        <f t="shared" si="18"/>
        <v>0</v>
      </c>
      <c r="P26" s="32">
        <f t="shared" si="19"/>
        <v>0</v>
      </c>
      <c r="Q26" s="32">
        <f t="shared" si="20"/>
        <v>0</v>
      </c>
      <c r="R26" s="32">
        <f t="shared" si="21"/>
        <v>0</v>
      </c>
      <c r="S26" s="32">
        <f t="shared" si="22"/>
        <v>0</v>
      </c>
      <c r="T26" s="32">
        <f t="shared" si="23"/>
        <v>0</v>
      </c>
    </row>
    <row r="27" spans="1:20" x14ac:dyDescent="0.2">
      <c r="A27" s="12" t="s">
        <v>28</v>
      </c>
      <c r="B27" s="42"/>
      <c r="C27" s="43"/>
      <c r="D27" s="51"/>
      <c r="E27" s="9">
        <v>15.525151569146237</v>
      </c>
      <c r="F27" s="9">
        <f t="shared" si="12"/>
        <v>15.525151569146237</v>
      </c>
      <c r="G27" s="14">
        <v>0.753</v>
      </c>
      <c r="H27" s="5">
        <f t="shared" si="13"/>
        <v>1.5813000000000001</v>
      </c>
      <c r="I27" s="15">
        <v>0.13851851851851851</v>
      </c>
      <c r="J27" s="5">
        <f t="shared" si="14"/>
        <v>1.7314814814814814</v>
      </c>
      <c r="K27" s="5">
        <f t="shared" si="15"/>
        <v>12.212370087664755</v>
      </c>
      <c r="L27" s="5">
        <f t="shared" si="16"/>
        <v>4.0300821289293696</v>
      </c>
      <c r="M27" s="5">
        <f t="shared" si="17"/>
        <v>8.1822879587353867</v>
      </c>
      <c r="N27" s="4"/>
      <c r="O27" s="32">
        <f t="shared" si="18"/>
        <v>0</v>
      </c>
      <c r="P27" s="32">
        <f t="shared" si="19"/>
        <v>0</v>
      </c>
      <c r="Q27" s="32">
        <f t="shared" si="20"/>
        <v>0</v>
      </c>
      <c r="R27" s="32">
        <f t="shared" si="21"/>
        <v>0</v>
      </c>
      <c r="S27" s="32">
        <f t="shared" si="22"/>
        <v>0</v>
      </c>
      <c r="T27" s="32">
        <f t="shared" si="23"/>
        <v>0</v>
      </c>
    </row>
    <row r="28" spans="1:20" x14ac:dyDescent="0.2">
      <c r="A28" s="12" t="s">
        <v>29</v>
      </c>
      <c r="B28" s="42"/>
      <c r="C28" s="43"/>
      <c r="D28" s="51"/>
      <c r="E28" s="9">
        <v>14.901150888312074</v>
      </c>
      <c r="F28" s="9">
        <f t="shared" si="12"/>
        <v>14.901150888312074</v>
      </c>
      <c r="G28" s="14">
        <v>0.753</v>
      </c>
      <c r="H28" s="5">
        <f t="shared" si="13"/>
        <v>1.5813000000000001</v>
      </c>
      <c r="I28" s="15">
        <v>0.13851851851851851</v>
      </c>
      <c r="J28" s="5">
        <f t="shared" si="14"/>
        <v>1.7314814814814814</v>
      </c>
      <c r="K28" s="5">
        <f t="shared" si="15"/>
        <v>11.588369406830592</v>
      </c>
      <c r="L28" s="5">
        <f t="shared" si="16"/>
        <v>3.8241619042540957</v>
      </c>
      <c r="M28" s="5">
        <f t="shared" si="17"/>
        <v>7.7642075025764967</v>
      </c>
      <c r="N28" s="4"/>
      <c r="O28" s="32">
        <f t="shared" si="18"/>
        <v>0</v>
      </c>
      <c r="P28" s="32">
        <f t="shared" si="19"/>
        <v>0</v>
      </c>
      <c r="Q28" s="32">
        <f t="shared" si="20"/>
        <v>0</v>
      </c>
      <c r="R28" s="32">
        <f t="shared" si="21"/>
        <v>0</v>
      </c>
      <c r="S28" s="32">
        <f t="shared" si="22"/>
        <v>0</v>
      </c>
      <c r="T28" s="32">
        <f t="shared" si="23"/>
        <v>0</v>
      </c>
    </row>
    <row r="29" spans="1:20" x14ac:dyDescent="0.2">
      <c r="A29" s="12"/>
      <c r="B29" s="42"/>
      <c r="C29" s="43"/>
      <c r="D29" s="51"/>
      <c r="E29" s="9"/>
      <c r="F29" s="9"/>
      <c r="G29" s="12"/>
      <c r="H29" s="4"/>
      <c r="I29" s="12"/>
      <c r="J29" s="4"/>
      <c r="K29" s="4"/>
      <c r="L29" s="4"/>
      <c r="M29" s="4"/>
      <c r="N29" s="4"/>
      <c r="O29" s="4"/>
      <c r="P29" s="4"/>
      <c r="Q29" s="4"/>
      <c r="R29" s="4"/>
      <c r="S29" s="4"/>
      <c r="T29" s="4"/>
    </row>
    <row r="30" spans="1:20" x14ac:dyDescent="0.2">
      <c r="A30" s="13" t="s">
        <v>30</v>
      </c>
      <c r="B30" s="42"/>
      <c r="C30" s="43"/>
      <c r="D30" s="51"/>
      <c r="E30" s="9"/>
      <c r="F30" s="9"/>
      <c r="G30" s="12"/>
      <c r="H30" s="4"/>
      <c r="I30" s="12"/>
      <c r="J30" s="4"/>
      <c r="K30" s="4"/>
      <c r="L30" s="4"/>
      <c r="M30" s="4"/>
      <c r="N30" s="4"/>
      <c r="O30" s="4"/>
      <c r="P30" s="4"/>
      <c r="Q30" s="4"/>
      <c r="R30" s="4"/>
      <c r="S30" s="4"/>
      <c r="T30" s="4"/>
    </row>
    <row r="31" spans="1:20" x14ac:dyDescent="0.2">
      <c r="A31" s="12" t="s">
        <v>31</v>
      </c>
      <c r="B31" s="42">
        <v>1</v>
      </c>
      <c r="C31" s="43"/>
      <c r="D31" s="51"/>
      <c r="E31" s="9">
        <v>17.42260549706824</v>
      </c>
      <c r="F31" s="9">
        <f t="shared" ref="F31:F35" si="24">IF(D31&gt;0,D31,E31-(G31*B$2*1.05)+H31-I31*12.5+J31)</f>
        <v>17.42260549706824</v>
      </c>
      <c r="G31" s="14">
        <v>0.79574999999999996</v>
      </c>
      <c r="H31" s="5">
        <f t="shared" ref="H31:H35" si="25">G31*B$3*1.05</f>
        <v>1.6710750000000001</v>
      </c>
      <c r="I31" s="15">
        <v>0.1025925925925926</v>
      </c>
      <c r="J31" s="5">
        <f t="shared" ref="J31:J35" si="26">I31*B$4</f>
        <v>1.2824074074074074</v>
      </c>
      <c r="K31" s="5">
        <f t="shared" ref="K31:K35" si="27">F31-H31-J31</f>
        <v>14.469123089660833</v>
      </c>
      <c r="L31" s="5">
        <f t="shared" ref="L31:L35" si="28">K31*B$12</f>
        <v>4.7748106195880755</v>
      </c>
      <c r="M31" s="5">
        <f t="shared" ref="M31:M35" si="29">K31-L31</f>
        <v>9.6943124700727576</v>
      </c>
      <c r="N31" s="4"/>
      <c r="O31" s="32">
        <f t="shared" ref="O31:O35" si="30">IF(O$14="Increase",IF(C31="y",0,IF($B31&gt;0,H31*$B31*(1+O$15),0)),IF(C31="y",0,IF($B31&gt;0,H31*$B31*(1-O$15),0)))</f>
        <v>2.00529</v>
      </c>
      <c r="P31" s="32">
        <f t="shared" ref="P31:P35" si="31">IF(P$14="Increase",IF(C31="y",0,IF($B31&gt;0,(I31*B$4*(1-B$7))*$B31*(1+P$15),0)),IF(C31="y",0,IF($B31&gt;0,(I31*B$4*(1-B$7))*$B31*(1-P$15),0)))</f>
        <v>1.538888888888889</v>
      </c>
      <c r="Q31" s="32">
        <f t="shared" ref="Q31:Q35" si="32">IF(Q$14="Increase",IF(C31="y",0,IF($B31&gt;0,(I31*B$6*(B$7))*$B31*(1+Q$15),0)),IF(C31="y",0,IF($B31&gt;0,(I31*B$6*(B$7))*$B31*(1-Q$15),0)))</f>
        <v>0</v>
      </c>
      <c r="R31" s="32">
        <f t="shared" ref="R31:R35" si="33">IF(R$14="Increase",IF(C31="y",0,IF($B31&gt;0,L31*$B31*(1+R$15),0)),IF(C31="y",0,IF($B31&gt;0,L31*$B31*(1-R$15),0)))</f>
        <v>5.7297727435056904</v>
      </c>
      <c r="S31" s="32">
        <f t="shared" ref="S31:S35" si="34">IF(S$14="Increase",IF(C31="y",0,IF($B31&gt;0,M31*$B31*(1+S$15),0)),IF(C31="y",0,IF($B31&gt;0,M31*$B31*(1-S$15),0)))</f>
        <v>11.633174964087308</v>
      </c>
      <c r="T31" s="32">
        <f t="shared" ref="T31:T35" si="35">IF(T$14="Increase",IF(C31="y",F31*B31*(1+T$15),0),IF(C31="y",F31*B31*(1-T$15),0))</f>
        <v>0</v>
      </c>
    </row>
    <row r="32" spans="1:20" x14ac:dyDescent="0.2">
      <c r="A32" s="12" t="s">
        <v>26</v>
      </c>
      <c r="B32" s="42"/>
      <c r="C32" s="43"/>
      <c r="D32" s="51"/>
      <c r="E32" s="9">
        <v>18.123359237722184</v>
      </c>
      <c r="F32" s="9">
        <f t="shared" si="24"/>
        <v>18.123359237722184</v>
      </c>
      <c r="G32" s="14">
        <v>0.79574999999999996</v>
      </c>
      <c r="H32" s="5">
        <f t="shared" si="25"/>
        <v>1.6710750000000001</v>
      </c>
      <c r="I32" s="15">
        <v>0.1025925925925926</v>
      </c>
      <c r="J32" s="5">
        <f t="shared" si="26"/>
        <v>1.2824074074074074</v>
      </c>
      <c r="K32" s="5">
        <f t="shared" si="27"/>
        <v>15.169876830314774</v>
      </c>
      <c r="L32" s="5">
        <f t="shared" si="28"/>
        <v>5.0060593540038756</v>
      </c>
      <c r="M32" s="5">
        <f t="shared" si="29"/>
        <v>10.163817476310898</v>
      </c>
      <c r="N32" s="4"/>
      <c r="O32" s="32">
        <f t="shared" si="30"/>
        <v>0</v>
      </c>
      <c r="P32" s="32">
        <f t="shared" si="31"/>
        <v>0</v>
      </c>
      <c r="Q32" s="32">
        <f t="shared" si="32"/>
        <v>0</v>
      </c>
      <c r="R32" s="32">
        <f t="shared" si="33"/>
        <v>0</v>
      </c>
      <c r="S32" s="32">
        <f t="shared" si="34"/>
        <v>0</v>
      </c>
      <c r="T32" s="32">
        <f t="shared" si="35"/>
        <v>0</v>
      </c>
    </row>
    <row r="33" spans="1:21" x14ac:dyDescent="0.2">
      <c r="A33" s="12" t="s">
        <v>27</v>
      </c>
      <c r="B33" s="42"/>
      <c r="C33" s="43"/>
      <c r="D33" s="51"/>
      <c r="E33" s="9">
        <v>18.334256769203471</v>
      </c>
      <c r="F33" s="9">
        <f t="shared" si="24"/>
        <v>18.334256769203471</v>
      </c>
      <c r="G33" s="14">
        <v>0.79574999999999996</v>
      </c>
      <c r="H33" s="5">
        <f t="shared" si="25"/>
        <v>1.6710750000000001</v>
      </c>
      <c r="I33" s="15">
        <v>0.1025925925925926</v>
      </c>
      <c r="J33" s="5">
        <f t="shared" si="26"/>
        <v>1.2824074074074074</v>
      </c>
      <c r="K33" s="5">
        <f t="shared" si="27"/>
        <v>15.38077436179606</v>
      </c>
      <c r="L33" s="5">
        <f t="shared" si="28"/>
        <v>5.0756555393927005</v>
      </c>
      <c r="M33" s="5">
        <f t="shared" si="29"/>
        <v>10.30511882240336</v>
      </c>
      <c r="N33" s="4"/>
      <c r="O33" s="32">
        <f t="shared" si="30"/>
        <v>0</v>
      </c>
      <c r="P33" s="32">
        <f t="shared" si="31"/>
        <v>0</v>
      </c>
      <c r="Q33" s="32">
        <f t="shared" si="32"/>
        <v>0</v>
      </c>
      <c r="R33" s="32">
        <f t="shared" si="33"/>
        <v>0</v>
      </c>
      <c r="S33" s="32">
        <f t="shared" si="34"/>
        <v>0</v>
      </c>
      <c r="T33" s="32">
        <f t="shared" si="35"/>
        <v>0</v>
      </c>
    </row>
    <row r="34" spans="1:21" x14ac:dyDescent="0.2">
      <c r="A34" s="12" t="s">
        <v>28</v>
      </c>
      <c r="B34" s="42"/>
      <c r="C34" s="43"/>
      <c r="D34" s="51"/>
      <c r="E34" s="9">
        <v>17.016494052314037</v>
      </c>
      <c r="F34" s="9">
        <f t="shared" si="24"/>
        <v>17.016494052314037</v>
      </c>
      <c r="G34" s="14">
        <v>0.85075000000000001</v>
      </c>
      <c r="H34" s="5">
        <f t="shared" si="25"/>
        <v>1.786575</v>
      </c>
      <c r="I34" s="15">
        <v>0.12481481481481482</v>
      </c>
      <c r="J34" s="5">
        <f t="shared" si="26"/>
        <v>1.5601851851851853</v>
      </c>
      <c r="K34" s="5">
        <f t="shared" si="27"/>
        <v>13.669733867128853</v>
      </c>
      <c r="L34" s="5">
        <f t="shared" si="28"/>
        <v>4.5110121761525219</v>
      </c>
      <c r="M34" s="5">
        <f t="shared" si="29"/>
        <v>9.158721690976332</v>
      </c>
      <c r="N34" s="4"/>
      <c r="O34" s="32">
        <f t="shared" si="30"/>
        <v>0</v>
      </c>
      <c r="P34" s="32">
        <f t="shared" si="31"/>
        <v>0</v>
      </c>
      <c r="Q34" s="32">
        <f t="shared" si="32"/>
        <v>0</v>
      </c>
      <c r="R34" s="32">
        <f t="shared" si="33"/>
        <v>0</v>
      </c>
      <c r="S34" s="32">
        <f t="shared" si="34"/>
        <v>0</v>
      </c>
      <c r="T34" s="32">
        <f t="shared" si="35"/>
        <v>0</v>
      </c>
    </row>
    <row r="35" spans="1:21" x14ac:dyDescent="0.2">
      <c r="A35" s="12" t="s">
        <v>29</v>
      </c>
      <c r="B35" s="42"/>
      <c r="C35" s="43"/>
      <c r="D35" s="51"/>
      <c r="E35" s="9">
        <v>16.02081482756763</v>
      </c>
      <c r="F35" s="9">
        <f t="shared" si="24"/>
        <v>16.02081482756763</v>
      </c>
      <c r="G35" s="14">
        <v>0.85075000000000001</v>
      </c>
      <c r="H35" s="5">
        <f t="shared" si="25"/>
        <v>1.786575</v>
      </c>
      <c r="I35" s="15">
        <v>0.12481481481481482</v>
      </c>
      <c r="J35" s="5">
        <f t="shared" si="26"/>
        <v>1.5601851851851853</v>
      </c>
      <c r="K35" s="5">
        <f t="shared" si="27"/>
        <v>12.674054642382446</v>
      </c>
      <c r="L35" s="5">
        <f t="shared" si="28"/>
        <v>4.1824380319862069</v>
      </c>
      <c r="M35" s="5">
        <f t="shared" si="29"/>
        <v>8.4916166103962389</v>
      </c>
      <c r="N35" s="4"/>
      <c r="O35" s="32">
        <f t="shared" si="30"/>
        <v>0</v>
      </c>
      <c r="P35" s="32">
        <f t="shared" si="31"/>
        <v>0</v>
      </c>
      <c r="Q35" s="32">
        <f t="shared" si="32"/>
        <v>0</v>
      </c>
      <c r="R35" s="32">
        <f t="shared" si="33"/>
        <v>0</v>
      </c>
      <c r="S35" s="32">
        <f t="shared" si="34"/>
        <v>0</v>
      </c>
      <c r="T35" s="32">
        <f t="shared" si="35"/>
        <v>0</v>
      </c>
    </row>
    <row r="36" spans="1:21" x14ac:dyDescent="0.2">
      <c r="A36" s="12"/>
      <c r="B36" s="42"/>
      <c r="C36" s="43"/>
      <c r="D36" s="51"/>
      <c r="E36" s="9"/>
      <c r="F36" s="9"/>
      <c r="G36" s="12"/>
      <c r="H36" s="4"/>
      <c r="I36" s="12"/>
      <c r="J36" s="4"/>
      <c r="K36" s="4"/>
      <c r="L36" s="4"/>
      <c r="M36" s="4"/>
      <c r="N36" s="4"/>
      <c r="O36" s="4"/>
      <c r="P36" s="4"/>
      <c r="Q36" s="4"/>
      <c r="R36" s="4"/>
      <c r="S36" s="4"/>
      <c r="T36" s="4"/>
    </row>
    <row r="37" spans="1:21" x14ac:dyDescent="0.2">
      <c r="A37" s="13" t="s">
        <v>32</v>
      </c>
      <c r="B37" s="42"/>
      <c r="C37" s="43"/>
      <c r="D37" s="51"/>
      <c r="E37" s="9"/>
      <c r="F37" s="9"/>
      <c r="G37" s="12"/>
      <c r="H37" s="4"/>
      <c r="I37" s="12"/>
      <c r="J37" s="4"/>
      <c r="K37" s="4"/>
      <c r="L37" s="4"/>
      <c r="M37" s="4"/>
      <c r="N37" s="4"/>
      <c r="O37" s="4"/>
      <c r="P37" s="4"/>
      <c r="Q37" s="4"/>
      <c r="R37" s="4"/>
      <c r="S37" s="4"/>
      <c r="T37" s="4"/>
    </row>
    <row r="38" spans="1:21" x14ac:dyDescent="0.2">
      <c r="A38" s="12" t="s">
        <v>34</v>
      </c>
      <c r="B38" s="42">
        <v>1</v>
      </c>
      <c r="C38" s="43"/>
      <c r="D38" s="51"/>
      <c r="E38" s="9">
        <v>28.373436127095008</v>
      </c>
      <c r="F38" s="9">
        <f t="shared" ref="F38:F41" si="36">IF(D38&gt;0,D38,E38-(G38*B$2*1.05)+H38-I38*12.5+J38)</f>
        <v>28.373436127095005</v>
      </c>
      <c r="G38" s="14">
        <v>2.2497499999999997</v>
      </c>
      <c r="H38" s="5">
        <f t="shared" ref="H38:H42" si="37">G38*B$3*1.05</f>
        <v>4.724475</v>
      </c>
      <c r="I38" s="15">
        <v>0.18962962962962962</v>
      </c>
      <c r="J38" s="5">
        <f t="shared" ref="J38:J42" si="38">I38*B$4</f>
        <v>2.3703703703703702</v>
      </c>
      <c r="K38" s="5">
        <f t="shared" ref="K38:K41" si="39">F38-H38-J38</f>
        <v>21.278590756724636</v>
      </c>
      <c r="L38" s="5">
        <f t="shared" ref="L38:L42" si="40">K38*B$12</f>
        <v>7.0219349497191299</v>
      </c>
      <c r="M38" s="5">
        <f t="shared" ref="M38:M41" si="41">K38-L38</f>
        <v>14.256655807005506</v>
      </c>
      <c r="N38" s="4"/>
      <c r="O38" s="32">
        <f t="shared" ref="O38:O41" si="42">IF(O$14="Increase",IF(C38="y",0,IF($B38&gt;0,H38*$B38*(1+O$15),0)),IF(C38="y",0,IF($B38&gt;0,H38*$B38*(1-O$15),0)))</f>
        <v>5.6693699999999998</v>
      </c>
      <c r="P38" s="32">
        <f t="shared" ref="P38:P41" si="43">IF(P$14="Increase",IF(C38="y",0,IF($B38&gt;0,(I38*B$4*(1-B$7))*$B38*(1+P$15),0)),IF(C38="y",0,IF($B38&gt;0,(I38*B$4*(1-B$7))*$B38*(1-P$15),0)))</f>
        <v>2.8444444444444441</v>
      </c>
      <c r="Q38" s="32">
        <f t="shared" ref="Q38:Q41" si="44">IF(Q$14="Increase",IF(C38="y",0,IF($B38&gt;0,(I38*B$6*(B$7))*$B38*(1+Q$15),0)),IF(C38="y",0,IF($B38&gt;0,(I38*B$6*(B$7))*$B38*(1-Q$15),0)))</f>
        <v>0</v>
      </c>
      <c r="R38" s="32">
        <f t="shared" ref="R38:R41" si="45">IF(R$14="Increase",IF(C38="y",0,IF($B38&gt;0,L38*$B38*(1+R$15),0)),IF(C38="y",0,IF($B38&gt;0,L38*$B38*(1-R$15),0)))</f>
        <v>8.4263219396629552</v>
      </c>
      <c r="S38" s="32">
        <f t="shared" ref="S38:S41" si="46">IF(S$14="Increase",IF(C38="y",0,IF($B38&gt;0,M38*$B38*(1+S$15),0)),IF(C38="y",0,IF($B38&gt;0,M38*$B38*(1-S$15),0)))</f>
        <v>17.107986968406607</v>
      </c>
      <c r="T38" s="32">
        <f t="shared" ref="T38:T41" si="47">IF(T$14="Increase",IF(C38="y",F38*B38*(1+T$15),0),IF(C38="y",F38*B38*(1-T$15),0))</f>
        <v>0</v>
      </c>
    </row>
    <row r="39" spans="1:21" x14ac:dyDescent="0.2">
      <c r="A39" s="12" t="s">
        <v>35</v>
      </c>
      <c r="B39" s="42"/>
      <c r="C39" s="43"/>
      <c r="D39" s="51"/>
      <c r="E39" s="9">
        <v>28.146667608184323</v>
      </c>
      <c r="F39" s="9">
        <f t="shared" si="36"/>
        <v>28.146667608184323</v>
      </c>
      <c r="G39" s="14">
        <v>1.8815</v>
      </c>
      <c r="H39" s="5">
        <f t="shared" si="37"/>
        <v>3.9511500000000002</v>
      </c>
      <c r="I39" s="15">
        <v>0.15666666666666668</v>
      </c>
      <c r="J39" s="5">
        <f t="shared" si="38"/>
        <v>1.9583333333333335</v>
      </c>
      <c r="K39" s="5">
        <f t="shared" si="39"/>
        <v>22.237184274850993</v>
      </c>
      <c r="L39" s="5">
        <f t="shared" si="40"/>
        <v>7.3382708107008279</v>
      </c>
      <c r="M39" s="5">
        <f t="shared" si="41"/>
        <v>14.898913464150166</v>
      </c>
      <c r="N39" s="4"/>
      <c r="O39" s="32">
        <f t="shared" si="42"/>
        <v>0</v>
      </c>
      <c r="P39" s="32">
        <f t="shared" si="43"/>
        <v>0</v>
      </c>
      <c r="Q39" s="32">
        <f t="shared" si="44"/>
        <v>0</v>
      </c>
      <c r="R39" s="32">
        <f t="shared" si="45"/>
        <v>0</v>
      </c>
      <c r="S39" s="32">
        <f t="shared" si="46"/>
        <v>0</v>
      </c>
      <c r="T39" s="32">
        <f t="shared" si="47"/>
        <v>0</v>
      </c>
    </row>
    <row r="40" spans="1:21" x14ac:dyDescent="0.2">
      <c r="A40" s="12" t="s">
        <v>36</v>
      </c>
      <c r="B40" s="42"/>
      <c r="C40" s="43"/>
      <c r="D40" s="51"/>
      <c r="E40" s="9">
        <v>27.958020848766882</v>
      </c>
      <c r="F40" s="9">
        <f t="shared" si="36"/>
        <v>27.958020848766882</v>
      </c>
      <c r="G40" s="14">
        <v>1.4732500000000002</v>
      </c>
      <c r="H40" s="5">
        <f t="shared" si="37"/>
        <v>3.0938250000000003</v>
      </c>
      <c r="I40" s="15">
        <v>0.1237037037037037</v>
      </c>
      <c r="J40" s="5">
        <f t="shared" si="38"/>
        <v>1.5462962962962963</v>
      </c>
      <c r="K40" s="5">
        <f t="shared" si="39"/>
        <v>23.317899552470585</v>
      </c>
      <c r="L40" s="5">
        <f t="shared" si="40"/>
        <v>7.6949068523152935</v>
      </c>
      <c r="M40" s="5">
        <f t="shared" si="41"/>
        <v>15.622992700155292</v>
      </c>
      <c r="N40" s="4"/>
      <c r="O40" s="32">
        <f t="shared" si="42"/>
        <v>0</v>
      </c>
      <c r="P40" s="32">
        <f t="shared" si="43"/>
        <v>0</v>
      </c>
      <c r="Q40" s="32">
        <f t="shared" si="44"/>
        <v>0</v>
      </c>
      <c r="R40" s="32">
        <f t="shared" si="45"/>
        <v>0</v>
      </c>
      <c r="S40" s="32">
        <f t="shared" si="46"/>
        <v>0</v>
      </c>
      <c r="T40" s="32">
        <f t="shared" si="47"/>
        <v>0</v>
      </c>
    </row>
    <row r="41" spans="1:21" x14ac:dyDescent="0.2">
      <c r="A41" s="7" t="s">
        <v>55</v>
      </c>
      <c r="B41" s="45">
        <v>1</v>
      </c>
      <c r="C41" s="46"/>
      <c r="D41" s="52"/>
      <c r="E41" s="9">
        <v>6.2229712866764233</v>
      </c>
      <c r="F41" s="6">
        <f t="shared" si="36"/>
        <v>6.2229712866764233</v>
      </c>
      <c r="G41" s="19">
        <v>0.16</v>
      </c>
      <c r="H41" s="8">
        <f t="shared" si="37"/>
        <v>0.33600000000000002</v>
      </c>
      <c r="I41" s="20">
        <v>0.1</v>
      </c>
      <c r="J41" s="8">
        <f t="shared" si="38"/>
        <v>1.25</v>
      </c>
      <c r="K41" s="8">
        <f t="shared" si="39"/>
        <v>4.636971286676423</v>
      </c>
      <c r="L41" s="8">
        <f t="shared" si="40"/>
        <v>1.5302005246032198</v>
      </c>
      <c r="M41" s="8">
        <f t="shared" si="41"/>
        <v>3.1067707620732032</v>
      </c>
      <c r="N41" s="7"/>
      <c r="O41" s="8">
        <f t="shared" si="42"/>
        <v>0.4032</v>
      </c>
      <c r="P41" s="8">
        <f t="shared" si="43"/>
        <v>1.5</v>
      </c>
      <c r="Q41" s="8">
        <f t="shared" si="44"/>
        <v>0</v>
      </c>
      <c r="R41" s="8">
        <f t="shared" si="45"/>
        <v>1.8362406295238636</v>
      </c>
      <c r="S41" s="8">
        <f t="shared" si="46"/>
        <v>3.7281249144878439</v>
      </c>
      <c r="T41" s="8">
        <f t="shared" si="47"/>
        <v>0</v>
      </c>
      <c r="U41" s="2"/>
    </row>
    <row r="42" spans="1:21" x14ac:dyDescent="0.2">
      <c r="A42" s="240" t="s">
        <v>113</v>
      </c>
      <c r="B42" s="169"/>
      <c r="C42" s="46"/>
      <c r="D42" s="52"/>
      <c r="E42" s="9">
        <f>((0.0631009 + 0.0011459*B8 - 0.0000068*(B8^2))*1.052 + B8*2*B2*(1.05)/(6*950) + ((B8*2/45) + 30/60)*B4/950)*Sorghum!D5</f>
        <v>15.80018398091228</v>
      </c>
      <c r="F42" s="6">
        <f>IF(D42&gt;0,D42,E42-(G42*B$2*1.05)+H42-I42*12.5+J42)</f>
        <v>15.80018398091228</v>
      </c>
      <c r="G42" s="19">
        <f>(('Sorghum-Corn'!D6)/950)*'Mach(CornNoTill)'!B8*2/6</f>
        <v>1.2719298245614035</v>
      </c>
      <c r="H42" s="8">
        <f t="shared" si="37"/>
        <v>2.6710526315789473</v>
      </c>
      <c r="I42" s="20">
        <f>((30/60)+(B8*2/45))*'Sorghum-Corn'!D6/950</f>
        <v>0.24590643274853802</v>
      </c>
      <c r="J42" s="8">
        <f t="shared" si="38"/>
        <v>3.073830409356725</v>
      </c>
      <c r="K42" s="8">
        <f>F42-H42-J42</f>
        <v>10.055300939976608</v>
      </c>
      <c r="L42" s="8">
        <f t="shared" si="40"/>
        <v>3.3182493101922805</v>
      </c>
      <c r="M42" s="8">
        <f>K42-L42</f>
        <v>6.737051629784327</v>
      </c>
      <c r="N42" s="7"/>
      <c r="O42" s="8">
        <f>IF(O$14="Increase",IF(C42="y",0,IF($B8&gt;0,H42*(1+O$15),0)),IF(C42="y",0,IF($B8&gt;0,H42*(1-O$15),0)))</f>
        <v>3.2052631578947368</v>
      </c>
      <c r="P42" s="8">
        <f>IF(P$14="Increase",IF(C42="y",0,IF($B8&gt;0,(I42*B$4*(1-B$7)*(1+P$15)),0)),IF(C42="y",0,IF($B8&gt;0,(I42*B$4*(1-B$7)*(1-P$15)),0)))</f>
        <v>3.6885964912280698</v>
      </c>
      <c r="Q42" s="8">
        <f>IF(Q$14="Increase",IF(C42="y",0,IF($B8&gt;0,(I42*B$6*(B$7)*(1+Q$15)),0)),IF(C42="y",0,IF($B8&gt;0,(I42*B$6*(B$7)*(1-Q$15)),0)))</f>
        <v>0</v>
      </c>
      <c r="R42" s="8">
        <f>IF(R$14="Increase",IF(C42="y",0,IF($B8&gt;0,L42*(1+R$15),0)),IF(C42="y",0,IF($B8&gt;0,L42*(1-R$15),0)))</f>
        <v>3.9818991722307366</v>
      </c>
      <c r="S42" s="8">
        <f>IF(S$14="Increase",IF(C42="y",0,IF($B8&gt;0,M42*(1+S$15),0)),IF(C42="y",0,IF($B8&gt;0,M42*(1-S$15),0)))</f>
        <v>8.0844619557411921</v>
      </c>
      <c r="T42" s="8">
        <f>IF(T$14="Increase",IF(C42="y",F42*(1+T$15),0),IF(C42="y",F42*(1-T$15),0))</f>
        <v>0</v>
      </c>
      <c r="U42" s="2">
        <f>SUM(O42:T42)</f>
        <v>18.960220777094733</v>
      </c>
    </row>
    <row r="43" spans="1:21" x14ac:dyDescent="0.2">
      <c r="A43" s="12"/>
      <c r="B43" s="42"/>
      <c r="C43" s="43"/>
      <c r="D43" s="51"/>
      <c r="E43" s="9"/>
      <c r="F43" s="9"/>
      <c r="G43" s="12"/>
      <c r="H43" s="4"/>
      <c r="I43" s="12"/>
      <c r="J43" s="4"/>
      <c r="K43" s="4"/>
      <c r="L43" s="4"/>
      <c r="M43" s="4"/>
      <c r="N43" s="4"/>
      <c r="O43" s="4"/>
      <c r="P43" s="4"/>
      <c r="Q43" s="4"/>
      <c r="R43" s="4"/>
      <c r="S43" s="4"/>
      <c r="T43" s="4"/>
    </row>
    <row r="44" spans="1:21" x14ac:dyDescent="0.2">
      <c r="A44" s="13" t="s">
        <v>40</v>
      </c>
      <c r="B44" s="42"/>
      <c r="C44" s="43"/>
      <c r="D44" s="51"/>
      <c r="E44" s="9"/>
      <c r="F44" s="9"/>
      <c r="G44" s="12"/>
      <c r="H44" s="4"/>
      <c r="I44" s="12"/>
      <c r="J44" s="4"/>
      <c r="K44" s="4"/>
      <c r="L44" s="4"/>
      <c r="M44" s="4"/>
      <c r="N44" s="4"/>
      <c r="O44" s="4"/>
      <c r="P44" s="4"/>
      <c r="Q44" s="4"/>
      <c r="R44" s="4"/>
      <c r="S44" s="4"/>
      <c r="T44" s="4"/>
    </row>
    <row r="45" spans="1:21" x14ac:dyDescent="0.2">
      <c r="A45" s="12" t="s">
        <v>41</v>
      </c>
      <c r="B45" s="42">
        <v>1</v>
      </c>
      <c r="C45" s="43"/>
      <c r="D45" s="51"/>
      <c r="E45" s="9">
        <v>5.3591902733682657</v>
      </c>
      <c r="F45" s="9">
        <f t="shared" ref="F45:F46" si="48">IF(D45&gt;0,D45,E45-(G45*B$2*1.05)+H45-I45*12.5+J45)</f>
        <v>5.3591902733682657</v>
      </c>
      <c r="G45" s="14">
        <v>0.3248383916323731</v>
      </c>
      <c r="H45" s="5">
        <f t="shared" ref="H45:H46" si="49">G45*B$3*1.05</f>
        <v>0.68216062242798359</v>
      </c>
      <c r="I45" s="15">
        <v>3.9135775526950654E-2</v>
      </c>
      <c r="J45" s="5">
        <f t="shared" ref="J45:J46" si="50">I45*B$4</f>
        <v>0.48919719408688317</v>
      </c>
      <c r="K45" s="5">
        <f t="shared" ref="K45:K46" si="51">F45-H45-J45</f>
        <v>4.1878324568533989</v>
      </c>
      <c r="L45" s="5">
        <f t="shared" ref="L45:L46" si="52">K45*B$12</f>
        <v>1.3819847107616217</v>
      </c>
      <c r="M45" s="5">
        <f t="shared" ref="M45:M46" si="53">K45-L45</f>
        <v>2.8058477460917772</v>
      </c>
      <c r="N45" s="4"/>
      <c r="O45" s="32">
        <f t="shared" ref="O45:O46" si="54">IF(O$14="Increase",IF(C45="y",0,IF($B45&gt;0,H45*$B45*(1+O$15),0)),IF(C45="y",0,IF($B45&gt;0,H45*$B45*(1-O$15),0)))</f>
        <v>0.8185927469135803</v>
      </c>
      <c r="P45" s="32">
        <f t="shared" ref="P45:P46" si="55">IF(P$14="Increase",IF(C45="y",0,IF($B45&gt;0,(I45*B$4*(1-B$7))*$B45*(1+P$15),0)),IF(C45="y",0,IF($B45&gt;0,(I45*B$4*(1-B$7))*$B45*(1-P$15),0)))</f>
        <v>0.58703663290425978</v>
      </c>
      <c r="Q45" s="32">
        <f t="shared" ref="Q45:Q46" si="56">IF(Q$14="Increase",IF(C45="y",0,IF($B45&gt;0,(I45*B$6*(B$7))*$B45*(1+Q$15),0)),IF(C45="y",0,IF($B45&gt;0,(I45*B$6*(B$7))*$B45*(1-Q$15),0)))</f>
        <v>0</v>
      </c>
      <c r="R45" s="32">
        <f t="shared" ref="R45:R46" si="57">IF(R$14="Increase",IF(C45="y",0,IF($B45&gt;0,L45*$B45*(1+R$15),0)),IF(C45="y",0,IF($B45&gt;0,L45*$B45*(1-R$15),0)))</f>
        <v>1.6583816529139459</v>
      </c>
      <c r="S45" s="32">
        <f t="shared" ref="S45:S46" si="58">IF(S$14="Increase",IF(C45="y",0,IF($B45&gt;0,M45*$B45*(1+S$15),0)),IF(C45="y",0,IF($B45&gt;0,M45*$B45*(1-S$15),0)))</f>
        <v>3.3670172953101325</v>
      </c>
      <c r="T45" s="32">
        <f t="shared" ref="T45:T46" si="59">IF(T$14="Increase",IF(C45="y",F45*B45*(1+T$15),0),IF(C45="y",F45*B45*(1-T$15),0))</f>
        <v>0</v>
      </c>
    </row>
    <row r="46" spans="1:21" x14ac:dyDescent="0.2">
      <c r="A46" s="12" t="s">
        <v>45</v>
      </c>
      <c r="B46" s="42">
        <v>1</v>
      </c>
      <c r="C46" s="43"/>
      <c r="D46" s="51"/>
      <c r="E46" s="9">
        <v>11.613360174500752</v>
      </c>
      <c r="F46" s="9">
        <f t="shared" si="48"/>
        <v>11.613360174500752</v>
      </c>
      <c r="G46" s="14">
        <v>0.69225000000000003</v>
      </c>
      <c r="H46" s="5">
        <f t="shared" si="49"/>
        <v>1.4537250000000002</v>
      </c>
      <c r="I46" s="15">
        <v>8.3400673400673392E-2</v>
      </c>
      <c r="J46" s="5">
        <f t="shared" si="50"/>
        <v>1.0425084175084174</v>
      </c>
      <c r="K46" s="5">
        <f t="shared" si="51"/>
        <v>9.1171267569923344</v>
      </c>
      <c r="L46" s="5">
        <f t="shared" si="52"/>
        <v>3.0086518298074707</v>
      </c>
      <c r="M46" s="5">
        <f t="shared" si="53"/>
        <v>6.1084749271848633</v>
      </c>
      <c r="N46" s="4"/>
      <c r="O46" s="32">
        <f t="shared" si="54"/>
        <v>1.7444700000000002</v>
      </c>
      <c r="P46" s="32">
        <f t="shared" si="55"/>
        <v>1.2510101010101009</v>
      </c>
      <c r="Q46" s="32">
        <f t="shared" si="56"/>
        <v>0</v>
      </c>
      <c r="R46" s="32">
        <f t="shared" si="57"/>
        <v>3.6103821957689646</v>
      </c>
      <c r="S46" s="32">
        <f t="shared" si="58"/>
        <v>7.3301699126218356</v>
      </c>
      <c r="T46" s="32">
        <f t="shared" si="59"/>
        <v>0</v>
      </c>
    </row>
    <row r="47" spans="1:21" x14ac:dyDescent="0.2">
      <c r="A47" s="12"/>
      <c r="B47" s="42"/>
      <c r="C47" s="43"/>
      <c r="D47" s="51"/>
      <c r="E47" s="9"/>
      <c r="F47" s="9"/>
      <c r="G47" s="12"/>
      <c r="H47" s="4"/>
      <c r="I47" s="12"/>
      <c r="J47" s="4"/>
      <c r="K47" s="4"/>
      <c r="L47" s="4"/>
      <c r="M47" s="4"/>
      <c r="N47" s="4"/>
      <c r="O47" s="4"/>
      <c r="P47" s="4"/>
      <c r="Q47" s="4"/>
      <c r="R47" s="4"/>
      <c r="S47" s="4"/>
      <c r="T47" s="4"/>
    </row>
    <row r="48" spans="1:21" x14ac:dyDescent="0.2">
      <c r="A48" s="13" t="s">
        <v>48</v>
      </c>
      <c r="B48" s="42"/>
      <c r="C48" s="43"/>
      <c r="D48" s="51"/>
      <c r="E48" s="9"/>
      <c r="F48" s="9"/>
      <c r="G48" s="12"/>
      <c r="H48" s="4"/>
      <c r="I48" s="12"/>
      <c r="J48" s="4"/>
      <c r="K48" s="4"/>
      <c r="L48" s="4"/>
      <c r="M48" s="4"/>
      <c r="N48" s="4"/>
      <c r="O48" s="4"/>
      <c r="P48" s="4"/>
      <c r="Q48" s="4"/>
      <c r="R48" s="4"/>
      <c r="S48" s="4"/>
      <c r="T48" s="4"/>
    </row>
    <row r="49" spans="1:20" x14ac:dyDescent="0.2">
      <c r="A49" s="12" t="s">
        <v>49</v>
      </c>
      <c r="B49" s="42">
        <v>2</v>
      </c>
      <c r="C49" s="43"/>
      <c r="D49" s="51"/>
      <c r="E49" s="9">
        <v>6.9142172800171986</v>
      </c>
      <c r="F49" s="9">
        <f>IF(D49&gt;0,D49,E49-(G49*B$2*1.05)+H49-I49*12.5+J49)</f>
        <v>6.9142172800171986</v>
      </c>
      <c r="G49" s="14">
        <v>0.11825000000000001</v>
      </c>
      <c r="H49" s="5">
        <f>G49*B$3*1.05</f>
        <v>0.24832500000000002</v>
      </c>
      <c r="I49" s="15">
        <v>0.03</v>
      </c>
      <c r="J49" s="5">
        <f>I49*B$4</f>
        <v>0.375</v>
      </c>
      <c r="K49" s="5">
        <f>F49-H49-J49</f>
        <v>6.2908922800171982</v>
      </c>
      <c r="L49" s="5">
        <f>K49*B$12</f>
        <v>2.0759944524056757</v>
      </c>
      <c r="M49" s="5">
        <f>K49-L49</f>
        <v>4.214897827611523</v>
      </c>
      <c r="N49" s="4"/>
      <c r="O49" s="32">
        <f>IF(O$14="Increase",IF(C49="y",0,IF($B49&gt;0,H49*$B49*(1+O$15),0)),IF(C49="y",0,IF($B49&gt;0,H49*$B49*(1-O$15),0)))</f>
        <v>0.59598000000000007</v>
      </c>
      <c r="P49" s="32">
        <f>IF(P$14="Increase",IF(C49="y",0,IF($B49&gt;0,(I49*B$4*(1-B$7))*$B49*(1+P$15),0)),IF(C49="y",0,IF($B49&gt;0,(I49*B$4*(1-B$7))*$B49*(1-P$15),0)))</f>
        <v>0.89999999999999991</v>
      </c>
      <c r="Q49" s="32">
        <f>IF(Q$14="Increase",IF(C49="y",0,IF($B49&gt;0,(I49*B$6*(B$7))*$B49*(1+Q$15),0)),IF(C49="y",0,IF($B49&gt;0,(I49*B$6*(B$7))*$B49*(1-Q$15),0)))</f>
        <v>0</v>
      </c>
      <c r="R49" s="32">
        <f>IF(R$14="Increase",IF(C49="y",0,IF($B49&gt;0,L49*$B49*(1+R$15),0)),IF(C49="y",0,IF($B49&gt;0,L49*$B49*(1-R$15),0)))</f>
        <v>4.9823866857736219</v>
      </c>
      <c r="S49" s="32">
        <f>IF(S$14="Increase",IF(C49="y",0,IF($B49&gt;0,M49*$B49*(1+S$15),0)),IF(C49="y",0,IF($B49&gt;0,M49*$B49*(1-S$15),0)))</f>
        <v>10.115754786267654</v>
      </c>
      <c r="T49" s="32">
        <f>IF(T$14="Increase",IF(C49="y",F49*B49*(1+T$15),0),IF(C49="y",F49*B49*(1-T$15),0))</f>
        <v>0</v>
      </c>
    </row>
    <row r="50" spans="1:20" x14ac:dyDescent="0.2">
      <c r="A50" s="12" t="s">
        <v>50</v>
      </c>
      <c r="B50" s="42"/>
      <c r="C50" s="43"/>
      <c r="D50" s="51"/>
      <c r="E50" s="9">
        <v>6.7436268685387066</v>
      </c>
      <c r="F50" s="9">
        <f>IF(D50&gt;0,D50,E50-(G50*B$2*1.05)+H50-I50*12.5+J50)</f>
        <v>6.7436268685387066</v>
      </c>
      <c r="G50" s="14">
        <v>0.16750000000000001</v>
      </c>
      <c r="H50" s="5">
        <f>G50*B$3*1.05</f>
        <v>0.35175000000000006</v>
      </c>
      <c r="I50" s="15">
        <v>5.0370370370370371E-2</v>
      </c>
      <c r="J50" s="5">
        <f>I50*B$4</f>
        <v>0.62962962962962965</v>
      </c>
      <c r="K50" s="5">
        <f>F50-H50-J50</f>
        <v>5.7622472389090769</v>
      </c>
      <c r="L50" s="5">
        <f>K50*B$12</f>
        <v>1.9015415888399954</v>
      </c>
      <c r="M50" s="5">
        <f>K50-L50</f>
        <v>3.8607056500690815</v>
      </c>
      <c r="N50" s="4"/>
      <c r="O50" s="32">
        <f>IF(O$14="Increase",IF(C50="y",0,IF($B50&gt;0,H50*$B50*(1+O$15),0)),IF(C50="y",0,IF($B50&gt;0,H50*$B50*(1-O$15),0)))</f>
        <v>0</v>
      </c>
      <c r="P50" s="32">
        <f>IF(P$14="Increase",IF(C50="y",0,IF($B50&gt;0,(I50*B$4*(1-B$7))*$B50*(1+P$15),0)),IF(C50="y",0,IF($B50&gt;0,(I50*B$4*(1-B$7))*$B50*(1-P$15),0)))</f>
        <v>0</v>
      </c>
      <c r="Q50" s="32">
        <f>IF(Q$14="Increase",IF(C50="y",0,IF($B50&gt;0,(I50*B$6*(B$7))*$B50*(1+Q$15),0)),IF(C50="y",0,IF($B50&gt;0,(I50*B$6*(B$7))*$B50*(1-Q$15),0)))</f>
        <v>0</v>
      </c>
      <c r="R50" s="32">
        <f>IF(R$14="Increase",IF(C50="y",0,IF($B50&gt;0,L50*$B50*(1+R$15),0)),IF(C50="y",0,IF($B50&gt;0,L50*$B50*(1-R$15),0)))</f>
        <v>0</v>
      </c>
      <c r="S50" s="32">
        <f>IF(S$14="Increase",IF(C50="y",0,IF($B50&gt;0,M50*$B50*(1+S$15),0)),IF(C50="y",0,IF($B50&gt;0,M50*$B50*(1-S$15),0)))</f>
        <v>0</v>
      </c>
      <c r="T50" s="32">
        <f>IF(T$14="Increase",IF(C50="y",F50*B50*(1+T$15),0),IF(C50="y",F50*B50*(1-T$15),0))</f>
        <v>0</v>
      </c>
    </row>
    <row r="51" spans="1:20" x14ac:dyDescent="0.2">
      <c r="A51" s="12" t="s">
        <v>51</v>
      </c>
      <c r="B51" s="42"/>
      <c r="C51" s="43"/>
      <c r="D51" s="51"/>
      <c r="E51" s="9">
        <v>8.7841297368676354</v>
      </c>
      <c r="F51" s="9">
        <f>IF(D51&gt;0,D51,E51-(G51*B$2*1.05)+H51-I51*12.5+J51)</f>
        <v>8.7841297368676354</v>
      </c>
      <c r="G51" s="14">
        <v>0.11</v>
      </c>
      <c r="H51" s="5">
        <f>G51*B$3*1.05</f>
        <v>0.23100000000000001</v>
      </c>
      <c r="I51" s="15">
        <v>1.4814814814814815E-2</v>
      </c>
      <c r="J51" s="5">
        <f>I51*B$4</f>
        <v>0.1851851851851852</v>
      </c>
      <c r="K51" s="5">
        <f>F51-H51-J51</f>
        <v>8.3679445516824504</v>
      </c>
      <c r="L51" s="5">
        <f>K51*B$12</f>
        <v>2.761421702055209</v>
      </c>
      <c r="M51" s="5">
        <f>K51-L51</f>
        <v>5.6065228496272415</v>
      </c>
      <c r="N51" s="4"/>
      <c r="O51" s="32">
        <f>IF(O$14="Increase",IF(C51="y",0,IF($B51&gt;0,H51*$B51*(1+O$15),0)),IF(C51="y",0,IF($B51&gt;0,H51*$B51*(1-O$15),0)))</f>
        <v>0</v>
      </c>
      <c r="P51" s="32">
        <f>IF(P$14="Increase",IF(C51="y",0,IF($B51&gt;0,(I51*B$4*(1-B$7))*$B51*(1+P$15),0)),IF(C51="y",0,IF($B51&gt;0,(I51*B$4*(1-B$7))*$B51*(1-P$15),0)))</f>
        <v>0</v>
      </c>
      <c r="Q51" s="32">
        <f>IF(Q$14="Increase",IF(C51="y",0,IF($B51&gt;0,(I51*B$6*(B$7))*$B51*(1+Q$15),0)),IF(C51="y",0,IF($B51&gt;0,(I51*B$6*(B$7))*$B51*(1-Q$15),0)))</f>
        <v>0</v>
      </c>
      <c r="R51" s="32">
        <f>IF(R$14="Increase",IF(C51="y",0,IF($B51&gt;0,L51*$B51*(1+R$15),0)),IF(C51="y",0,IF($B51&gt;0,L51*$B51*(1-R$15),0)))</f>
        <v>0</v>
      </c>
      <c r="S51" s="32">
        <f>IF(S$14="Increase",IF(C51="y",0,IF($B51&gt;0,M51*$B51*(1+S$15),0)),IF(C51="y",0,IF($B51&gt;0,M51*$B51*(1-S$15),0)))</f>
        <v>0</v>
      </c>
      <c r="T51" s="32">
        <f>IF(T$14="Increase",IF(C51="y",F51*B51*(1+T$15),0),IF(C51="y",F51*B51*(1-T$15),0))</f>
        <v>0</v>
      </c>
    </row>
    <row r="52" spans="1:20" x14ac:dyDescent="0.2">
      <c r="A52" s="12"/>
      <c r="B52" s="42"/>
      <c r="C52" s="43"/>
      <c r="D52" s="51"/>
      <c r="E52" s="9"/>
      <c r="F52" s="9"/>
      <c r="G52" s="12"/>
      <c r="H52" s="4"/>
      <c r="I52" s="12"/>
      <c r="J52" s="4"/>
      <c r="K52" s="4"/>
      <c r="L52" s="4"/>
      <c r="M52" s="4"/>
      <c r="N52" s="4"/>
      <c r="O52" s="4"/>
      <c r="P52" s="4"/>
      <c r="Q52" s="4"/>
      <c r="R52" s="4"/>
      <c r="S52" s="4"/>
      <c r="T52" s="4"/>
    </row>
    <row r="53" spans="1:20" x14ac:dyDescent="0.2">
      <c r="A53" s="13" t="s">
        <v>52</v>
      </c>
      <c r="B53" s="42"/>
      <c r="C53" s="43"/>
      <c r="D53" s="51"/>
      <c r="E53" s="9"/>
      <c r="F53" s="9"/>
      <c r="G53" s="12"/>
      <c r="H53" s="4"/>
      <c r="I53" s="12"/>
      <c r="J53" s="4"/>
      <c r="K53" s="4"/>
      <c r="L53" s="4"/>
      <c r="M53" s="4"/>
      <c r="N53" s="4"/>
      <c r="O53" s="4"/>
      <c r="P53" s="4"/>
      <c r="Q53" s="4"/>
      <c r="R53" s="4"/>
      <c r="S53" s="4"/>
      <c r="T53" s="4"/>
    </row>
    <row r="54" spans="1:20" x14ac:dyDescent="0.2">
      <c r="A54" s="12" t="s">
        <v>53</v>
      </c>
      <c r="B54" s="42"/>
      <c r="C54" s="43"/>
      <c r="D54" s="51"/>
      <c r="E54" s="9">
        <v>8.6475214891136076</v>
      </c>
      <c r="F54" s="9">
        <f>IF(D54&gt;0,D54,E54-(G54*B$2*1.05)+H54-I54*12.5+J54)</f>
        <v>8.6475214891136076</v>
      </c>
      <c r="G54" s="14">
        <v>0.26850000000000002</v>
      </c>
      <c r="H54" s="5">
        <f>G54*B$3*1.05</f>
        <v>0.56385000000000007</v>
      </c>
      <c r="I54" s="15">
        <v>3.8518518518518521E-2</v>
      </c>
      <c r="J54" s="5">
        <f>I54*B$4</f>
        <v>0.48148148148148151</v>
      </c>
      <c r="K54" s="5">
        <f>F54-H54-J54</f>
        <v>7.6021900076321254</v>
      </c>
      <c r="L54" s="5">
        <f>K54*B$12</f>
        <v>2.5087227025186016</v>
      </c>
      <c r="M54" s="5">
        <f>K54-L54</f>
        <v>5.0934673051135242</v>
      </c>
      <c r="N54" s="4"/>
      <c r="O54" s="32">
        <f>IF(O$14="Increase",IF(C54="y",0,IF($B54&gt;0,H54*$B54*(1+O$15),0)),IF(C54="y",0,IF($B54&gt;0,H54*$B54*(1-O$15),0)))</f>
        <v>0</v>
      </c>
      <c r="P54" s="32">
        <f>IF(P$14="Increase",IF(C54="y",0,IF($B54&gt;0,(I54*B$4*(1-B$7))*$B54*(1+P$15),0)),IF(C54="y",0,IF($B54&gt;0,(I54*B$4*(1-B$7))*$B54*(1-P$15),0)))</f>
        <v>0</v>
      </c>
      <c r="Q54" s="32">
        <f>IF(Q$14="Increase",IF(C54="y",0,IF($B54&gt;0,(I54*B$6*(B$7))*$B54*(1+Q$15),0)),IF(C54="y",0,IF($B54&gt;0,(I54*B$6*(B$7))*$B54*(1-Q$15),0)))</f>
        <v>0</v>
      </c>
      <c r="R54" s="32">
        <f>IF(R$14="Increase",IF(C54="y",0,IF($B54&gt;0,L54*$B54*(1+R$15),0)),IF(C54="y",0,IF($B54&gt;0,L54*$B54*(1-R$15),0)))</f>
        <v>0</v>
      </c>
      <c r="S54" s="32">
        <f>IF(S$14="Increase",IF(C54="y",0,IF($B54&gt;0,M54*$B54*(1+S$15),0)),IF(C54="y",0,IF($B54&gt;0,M54*$B54*(1-S$15),0)))</f>
        <v>0</v>
      </c>
      <c r="T54" s="32">
        <f>IF(T$14="Increase",IF(C54="y",F54*B54*(1+T$15),0),IF(C54="y",F54*B54*(1-T$15),0))</f>
        <v>0</v>
      </c>
    </row>
    <row r="55" spans="1:20" x14ac:dyDescent="0.2">
      <c r="A55" s="12" t="s">
        <v>54</v>
      </c>
      <c r="B55" s="42"/>
      <c r="C55" s="43"/>
      <c r="D55" s="51"/>
      <c r="E55" s="9">
        <v>13.113274525615344</v>
      </c>
      <c r="F55" s="9">
        <f>IF(D55&gt;0,D55,E55-(G55*B$2*1.05)+H55-I55*12.5+J55)</f>
        <v>13.113274525615344</v>
      </c>
      <c r="G55" s="14">
        <v>0.52800000000000002</v>
      </c>
      <c r="H55" s="5">
        <f>G55*B$3*1.05</f>
        <v>1.1088</v>
      </c>
      <c r="I55" s="15">
        <v>8.4831649831649841E-2</v>
      </c>
      <c r="J55" s="5">
        <f>I55*B$4</f>
        <v>1.0603956228956231</v>
      </c>
      <c r="K55" s="5">
        <f>F55-H55-J55</f>
        <v>10.944078902719721</v>
      </c>
      <c r="L55" s="5">
        <f>K55*B$12</f>
        <v>3.6115460378975079</v>
      </c>
      <c r="M55" s="5">
        <f>K55-L55</f>
        <v>7.3325328648222126</v>
      </c>
      <c r="N55" s="4"/>
      <c r="O55" s="32">
        <f>IF(O$14="Increase",IF(C55="y",0,IF($B55&gt;0,H55*$B55*(1+O$15),0)),IF(C55="y",0,IF($B55&gt;0,H55*$B55*(1-O$15),0)))</f>
        <v>0</v>
      </c>
      <c r="P55" s="32">
        <f>IF(P$14="Increase",IF(C55="y",0,IF($B55&gt;0,(I55*B$4*(1-B$7))*$B55*(1+P$15),0)),IF(C55="y",0,IF($B55&gt;0,(I55*B$4*(1-B$7))*$B55*(1-P$15),0)))</f>
        <v>0</v>
      </c>
      <c r="Q55" s="32">
        <f>IF(Q$14="Increase",IF(C55="y",0,IF($B55&gt;0,(I55*B$6*(B$7))*$B55*(1+Q$15),0)),IF(C55="y",0,IF($B55&gt;0,(I55*B$6*(B$7))*$B55*(1-Q$15),0)))</f>
        <v>0</v>
      </c>
      <c r="R55" s="32">
        <f>IF(R$14="Increase",IF(C55="y",0,IF($B55&gt;0,L55*$B55*(1+R$15),0)),IF(C55="y",0,IF($B55&gt;0,L55*$B55*(1-R$15),0)))</f>
        <v>0</v>
      </c>
      <c r="S55" s="32">
        <f>IF(S$14="Increase",IF(C55="y",0,IF($B55&gt;0,M55*$B55*(1+S$15),0)),IF(C55="y",0,IF($B55&gt;0,M55*$B55*(1-S$15),0)))</f>
        <v>0</v>
      </c>
      <c r="T55" s="32">
        <f>IF(T$14="Increase",IF(C55="y",F55*B55*(1+T$15),0),IF(C55="y",F55*B55*(1-T$15),0))</f>
        <v>0</v>
      </c>
    </row>
    <row r="56" spans="1:20" x14ac:dyDescent="0.2">
      <c r="A56" s="21" t="s">
        <v>93</v>
      </c>
      <c r="B56" s="40"/>
      <c r="C56" s="41"/>
      <c r="D56" s="53"/>
      <c r="E56" s="4"/>
      <c r="F56" s="4"/>
      <c r="G56" s="4"/>
      <c r="H56" s="4"/>
      <c r="I56" s="4"/>
      <c r="J56" s="4"/>
      <c r="K56" s="4"/>
      <c r="L56" s="4"/>
      <c r="M56" s="4"/>
      <c r="N56" s="4"/>
      <c r="O56" s="23">
        <f>SUM(O19:O55)</f>
        <v>14.442165904808316</v>
      </c>
      <c r="P56" s="23">
        <f>SUM(P19:P55)+B14*(1-B7)*B4</f>
        <v>21.684976558475764</v>
      </c>
      <c r="Q56" s="23">
        <f>SUM(Q19:Q55)+B14*B7*B6</f>
        <v>0</v>
      </c>
      <c r="R56" s="23">
        <f>SUM(R19:R55)</f>
        <v>30.225385019379779</v>
      </c>
      <c r="S56" s="23">
        <f>SUM(S19:S55)-(B14*(1-B7)*B4+B14*B7*B6)</f>
        <v>51.991690796922569</v>
      </c>
      <c r="T56" s="23">
        <f>SUM(T19:T55)</f>
        <v>0</v>
      </c>
    </row>
    <row r="57" spans="1:20" s="11" customFormat="1" x14ac:dyDescent="0.2">
      <c r="A57" s="21" t="s">
        <v>143</v>
      </c>
      <c r="B57" s="40"/>
      <c r="C57" s="41"/>
      <c r="D57" s="53"/>
      <c r="E57" s="21"/>
      <c r="F57" s="21"/>
      <c r="G57" s="21"/>
      <c r="H57" s="21"/>
      <c r="I57" s="21"/>
      <c r="J57" s="21"/>
      <c r="K57" s="21"/>
      <c r="L57" s="21"/>
      <c r="M57" s="21"/>
      <c r="N57" s="21"/>
      <c r="O57" s="23">
        <f>O56 - (O56/$T58)*'Sorghum-Corn'!$I25</f>
        <v>14.442165904808316</v>
      </c>
      <c r="P57" s="23">
        <f>P56 - (P56/$T58)*'Sorghum-Corn'!$I25</f>
        <v>21.684976558475764</v>
      </c>
      <c r="Q57" s="23">
        <f>Q56 - (Q56/$T58)*'Sorghum-Corn'!$I25</f>
        <v>0</v>
      </c>
      <c r="R57" s="23">
        <f>R56 - (R56/$T58)*'Sorghum-Corn'!$I25</f>
        <v>30.225385019379779</v>
      </c>
      <c r="S57" s="23">
        <f>S56 - (S56/$T58)*'Sorghum-Corn'!$I25</f>
        <v>51.991690796922569</v>
      </c>
      <c r="T57" s="23">
        <f>'Sorghum-Corn'!I25</f>
        <v>0</v>
      </c>
    </row>
    <row r="58" spans="1:20" x14ac:dyDescent="0.2">
      <c r="T58" s="10">
        <f>SUM(O56:T56)</f>
        <v>118.34421827958643</v>
      </c>
    </row>
    <row r="59" spans="1:20" x14ac:dyDescent="0.2">
      <c r="T59" s="10">
        <f>SUM(O57:T57)</f>
        <v>118.34421827958643</v>
      </c>
    </row>
    <row r="60" spans="1:20" x14ac:dyDescent="0.2">
      <c r="T60" s="10"/>
    </row>
    <row r="61" spans="1:20" x14ac:dyDescent="0.2">
      <c r="T61" s="10"/>
    </row>
    <row r="64" spans="1:20" x14ac:dyDescent="0.2">
      <c r="O64" t="s">
        <v>89</v>
      </c>
    </row>
    <row r="65" spans="15:15" x14ac:dyDescent="0.2">
      <c r="O65" t="s">
        <v>90</v>
      </c>
    </row>
  </sheetData>
  <mergeCells count="18">
    <mergeCell ref="E13:N15"/>
    <mergeCell ref="A42:B42"/>
    <mergeCell ref="E12:T12"/>
    <mergeCell ref="O13:T13"/>
    <mergeCell ref="E8:T8"/>
    <mergeCell ref="E11:T11"/>
    <mergeCell ref="A10:D10"/>
    <mergeCell ref="A11:D11"/>
    <mergeCell ref="E9:T9"/>
    <mergeCell ref="E10:T10"/>
    <mergeCell ref="E5:T5"/>
    <mergeCell ref="E6:T6"/>
    <mergeCell ref="E7:T7"/>
    <mergeCell ref="A9:D9"/>
    <mergeCell ref="A1:T1"/>
    <mergeCell ref="E2:T2"/>
    <mergeCell ref="E3:T3"/>
    <mergeCell ref="E4:T4"/>
  </mergeCells>
  <phoneticPr fontId="0" type="noConversion"/>
  <dataValidations count="1">
    <dataValidation type="list" allowBlank="1" showInputMessage="1" showErrorMessage="1" sqref="O14:T14">
      <formula1>$O$64:$O$65</formula1>
    </dataValidation>
  </dataValidation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showGridLines="0" topLeftCell="A8" workbookViewId="0">
      <selection activeCell="D5" sqref="D5"/>
    </sheetView>
  </sheetViews>
  <sheetFormatPr defaultRowHeight="12.75" x14ac:dyDescent="0.2"/>
  <cols>
    <col min="1" max="1" width="3" customWidth="1"/>
    <col min="2" max="2" width="4" customWidth="1"/>
    <col min="3" max="3" width="31" customWidth="1"/>
    <col min="4" max="4" width="7.28515625" customWidth="1"/>
    <col min="5" max="5" width="7.7109375" customWidth="1"/>
    <col min="6" max="6" width="7.85546875" customWidth="1"/>
    <col min="7" max="7" width="10" customWidth="1"/>
    <col min="8" max="8" width="5" customWidth="1"/>
    <col min="9" max="9" width="8.7109375" customWidth="1"/>
  </cols>
  <sheetData>
    <row r="1" spans="2:11" ht="15.75" x14ac:dyDescent="0.25">
      <c r="B1" s="248" t="s">
        <v>169</v>
      </c>
      <c r="C1" s="249"/>
      <c r="D1" s="249"/>
      <c r="E1" s="249"/>
      <c r="F1" s="249"/>
      <c r="G1" s="249"/>
      <c r="H1" s="249"/>
      <c r="I1" s="249"/>
      <c r="K1" t="s">
        <v>85</v>
      </c>
    </row>
    <row r="2" spans="2:11" ht="5.25" customHeight="1" x14ac:dyDescent="0.2">
      <c r="B2" s="4"/>
      <c r="C2" s="4"/>
      <c r="D2" s="4"/>
      <c r="E2" s="4"/>
      <c r="F2" s="4"/>
      <c r="G2" s="207"/>
      <c r="H2" s="169"/>
      <c r="I2" s="4"/>
    </row>
    <row r="3" spans="2:11" s="26" customFormat="1" ht="19.149999999999999" customHeight="1" x14ac:dyDescent="0.2">
      <c r="B3" s="27"/>
      <c r="C3" s="27"/>
      <c r="D3" s="3" t="s">
        <v>153</v>
      </c>
      <c r="E3" s="3" t="s">
        <v>60</v>
      </c>
      <c r="F3" s="3" t="s">
        <v>61</v>
      </c>
      <c r="G3" s="250"/>
      <c r="H3" s="251"/>
      <c r="I3" s="3" t="s">
        <v>5</v>
      </c>
    </row>
    <row r="4" spans="2:11" x14ac:dyDescent="0.2">
      <c r="B4" s="28" t="s">
        <v>62</v>
      </c>
      <c r="C4" s="28"/>
      <c r="D4" s="185"/>
      <c r="E4" s="186"/>
      <c r="F4" s="186"/>
      <c r="G4" s="186"/>
      <c r="H4" s="186"/>
      <c r="I4" s="169"/>
    </row>
    <row r="5" spans="2:11" x14ac:dyDescent="0.2">
      <c r="B5" s="4"/>
      <c r="C5" s="30" t="s">
        <v>199</v>
      </c>
      <c r="D5" s="105">
        <f>'Sorghum-Corn'!J6</f>
        <v>120</v>
      </c>
      <c r="E5" s="4" t="s">
        <v>63</v>
      </c>
      <c r="F5" s="91">
        <v>4</v>
      </c>
      <c r="G5" s="177"/>
      <c r="H5" s="177"/>
      <c r="I5" s="5">
        <f>D5*F5</f>
        <v>480</v>
      </c>
    </row>
    <row r="6" spans="2:11" x14ac:dyDescent="0.2">
      <c r="B6" s="4"/>
      <c r="C6" s="30" t="s">
        <v>200</v>
      </c>
      <c r="D6" s="4">
        <v>1</v>
      </c>
      <c r="E6" s="4" t="s">
        <v>69</v>
      </c>
      <c r="F6" s="91">
        <v>0</v>
      </c>
      <c r="G6" s="178"/>
      <c r="H6" s="179"/>
      <c r="I6" s="102">
        <f>D6*F6</f>
        <v>0</v>
      </c>
    </row>
    <row r="7" spans="2:11" x14ac:dyDescent="0.2">
      <c r="B7" s="4"/>
      <c r="C7" s="30" t="s">
        <v>201</v>
      </c>
      <c r="D7" s="4">
        <v>1</v>
      </c>
      <c r="E7" s="4" t="s">
        <v>69</v>
      </c>
      <c r="F7" s="91">
        <v>15</v>
      </c>
      <c r="G7" s="178"/>
      <c r="H7" s="179"/>
      <c r="I7" s="35">
        <f>D7*F7</f>
        <v>15</v>
      </c>
    </row>
    <row r="8" spans="2:11" x14ac:dyDescent="0.2">
      <c r="B8" s="28" t="s">
        <v>83</v>
      </c>
      <c r="C8" s="29"/>
      <c r="D8" s="4"/>
      <c r="E8" s="4"/>
      <c r="F8" s="17"/>
      <c r="G8" s="177"/>
      <c r="H8" s="177"/>
      <c r="I8" s="56">
        <f>I5+I7</f>
        <v>495</v>
      </c>
    </row>
    <row r="9" spans="2:11" ht="4.5" customHeight="1" x14ac:dyDescent="0.2">
      <c r="B9" s="4"/>
      <c r="C9" s="4"/>
      <c r="D9" s="4"/>
      <c r="E9" s="4"/>
      <c r="F9" s="4"/>
      <c r="G9" s="177"/>
      <c r="H9" s="177"/>
      <c r="I9" s="4"/>
    </row>
    <row r="10" spans="2:11" x14ac:dyDescent="0.2">
      <c r="B10" s="29" t="s">
        <v>64</v>
      </c>
      <c r="C10" s="4"/>
      <c r="D10" s="185"/>
      <c r="E10" s="186"/>
      <c r="F10" s="186"/>
      <c r="G10" s="186"/>
      <c r="H10" s="186"/>
      <c r="I10" s="169"/>
    </row>
    <row r="11" spans="2:11" x14ac:dyDescent="0.2">
      <c r="B11" s="4"/>
      <c r="C11" s="4" t="s">
        <v>65</v>
      </c>
      <c r="D11" s="89">
        <v>0.38</v>
      </c>
      <c r="E11" s="4" t="s">
        <v>66</v>
      </c>
      <c r="F11" s="92">
        <v>250</v>
      </c>
      <c r="G11" s="177"/>
      <c r="H11" s="177"/>
      <c r="I11" s="5">
        <f t="shared" ref="I11:I19" si="0">D11*F11</f>
        <v>95</v>
      </c>
    </row>
    <row r="12" spans="2:11" ht="14.25" x14ac:dyDescent="0.2">
      <c r="B12" s="4"/>
      <c r="C12" s="4" t="s">
        <v>172</v>
      </c>
      <c r="D12" s="90">
        <v>170</v>
      </c>
      <c r="E12" s="4" t="s">
        <v>195</v>
      </c>
      <c r="F12" s="91">
        <v>0.45</v>
      </c>
      <c r="G12" s="177"/>
      <c r="H12" s="177"/>
      <c r="I12" s="5">
        <f t="shared" si="0"/>
        <v>76.5</v>
      </c>
    </row>
    <row r="13" spans="2:11" ht="15.75" x14ac:dyDescent="0.3">
      <c r="B13" s="4"/>
      <c r="C13" s="4" t="s">
        <v>122</v>
      </c>
      <c r="D13" s="90">
        <v>60</v>
      </c>
      <c r="E13" s="4" t="s">
        <v>195</v>
      </c>
      <c r="F13" s="91">
        <v>0.45</v>
      </c>
      <c r="G13" s="177"/>
      <c r="H13" s="177"/>
      <c r="I13" s="5">
        <f t="shared" si="0"/>
        <v>27</v>
      </c>
    </row>
    <row r="14" spans="2:11" ht="15.75" x14ac:dyDescent="0.3">
      <c r="B14" s="4"/>
      <c r="C14" s="4" t="s">
        <v>123</v>
      </c>
      <c r="D14" s="90">
        <v>53</v>
      </c>
      <c r="E14" s="4" t="s">
        <v>195</v>
      </c>
      <c r="F14" s="91">
        <v>0.4</v>
      </c>
      <c r="G14" s="189"/>
      <c r="H14" s="190"/>
      <c r="I14" s="5">
        <f t="shared" si="0"/>
        <v>21.200000000000003</v>
      </c>
    </row>
    <row r="15" spans="2:11" x14ac:dyDescent="0.2">
      <c r="B15" s="4"/>
      <c r="C15" s="4" t="s">
        <v>108</v>
      </c>
      <c r="D15" s="90">
        <v>0</v>
      </c>
      <c r="E15" s="4" t="s">
        <v>195</v>
      </c>
      <c r="F15" s="91">
        <v>0</v>
      </c>
      <c r="G15" s="189"/>
      <c r="H15" s="190"/>
      <c r="I15" s="5">
        <f t="shared" si="0"/>
        <v>0</v>
      </c>
    </row>
    <row r="16" spans="2:11" x14ac:dyDescent="0.2">
      <c r="B16" s="4"/>
      <c r="C16" s="4" t="s">
        <v>97</v>
      </c>
      <c r="D16" s="97">
        <v>0.7</v>
      </c>
      <c r="E16" s="4" t="s">
        <v>67</v>
      </c>
      <c r="F16" s="91">
        <v>20</v>
      </c>
      <c r="G16" s="177"/>
      <c r="H16" s="177"/>
      <c r="I16" s="5">
        <f t="shared" si="0"/>
        <v>14</v>
      </c>
      <c r="J16" s="36"/>
      <c r="K16" s="36"/>
    </row>
    <row r="17" spans="2:11" x14ac:dyDescent="0.2">
      <c r="B17" s="4"/>
      <c r="C17" s="4" t="s">
        <v>68</v>
      </c>
      <c r="D17" s="4">
        <v>1</v>
      </c>
      <c r="E17" s="4" t="s">
        <v>69</v>
      </c>
      <c r="F17" s="92">
        <v>50</v>
      </c>
      <c r="G17" s="177"/>
      <c r="H17" s="177"/>
      <c r="I17" s="5">
        <f t="shared" si="0"/>
        <v>50</v>
      </c>
      <c r="J17" s="36"/>
      <c r="K17" s="36"/>
    </row>
    <row r="18" spans="2:11" ht="14.25" x14ac:dyDescent="0.2">
      <c r="B18" s="4"/>
      <c r="C18" s="4" t="s">
        <v>178</v>
      </c>
      <c r="D18" s="4">
        <v>1</v>
      </c>
      <c r="E18" s="4" t="s">
        <v>69</v>
      </c>
      <c r="F18" s="92">
        <v>0</v>
      </c>
      <c r="G18" s="177"/>
      <c r="H18" s="177"/>
      <c r="I18" s="5">
        <f t="shared" si="0"/>
        <v>0</v>
      </c>
      <c r="J18" s="36"/>
      <c r="K18" s="36"/>
    </row>
    <row r="19" spans="2:11" ht="14.25" x14ac:dyDescent="0.2">
      <c r="B19" s="4"/>
      <c r="C19" s="30" t="s">
        <v>179</v>
      </c>
      <c r="D19" s="4">
        <v>1</v>
      </c>
      <c r="E19" s="4" t="s">
        <v>69</v>
      </c>
      <c r="F19" s="92">
        <v>0</v>
      </c>
      <c r="G19" s="252"/>
      <c r="H19" s="252"/>
      <c r="I19" s="5">
        <f t="shared" si="0"/>
        <v>0</v>
      </c>
      <c r="J19" s="36"/>
      <c r="K19" s="36"/>
    </row>
    <row r="20" spans="2:11" ht="13.15" customHeight="1" x14ac:dyDescent="0.2">
      <c r="B20" s="4"/>
      <c r="C20" s="37" t="s">
        <v>96</v>
      </c>
      <c r="D20" s="37">
        <v>1</v>
      </c>
      <c r="E20" s="37" t="s">
        <v>69</v>
      </c>
      <c r="F20" s="93">
        <v>0</v>
      </c>
      <c r="G20" s="222" t="s">
        <v>142</v>
      </c>
      <c r="H20" s="224" t="s">
        <v>59</v>
      </c>
      <c r="I20" s="44">
        <f>IF(H20="Y",'Mach(Sorg)'!O57,F20)</f>
        <v>13.889534325860948</v>
      </c>
      <c r="K20" t="s">
        <v>85</v>
      </c>
    </row>
    <row r="21" spans="2:11" x14ac:dyDescent="0.2">
      <c r="B21" s="4"/>
      <c r="C21" s="37" t="s">
        <v>8</v>
      </c>
      <c r="D21" s="37">
        <v>1</v>
      </c>
      <c r="E21" s="37" t="s">
        <v>69</v>
      </c>
      <c r="F21" s="93">
        <v>0</v>
      </c>
      <c r="G21" s="223"/>
      <c r="H21" s="225"/>
      <c r="I21" s="44">
        <f>IF(H20="Y",('Mach(Sorg)'!R57-(I24*'Mach(Sorg)'!B12)),F21)</f>
        <v>30.617621861485041</v>
      </c>
    </row>
    <row r="22" spans="2:11" x14ac:dyDescent="0.2">
      <c r="B22" s="4"/>
      <c r="C22" s="37" t="s">
        <v>80</v>
      </c>
      <c r="D22" s="37">
        <v>1</v>
      </c>
      <c r="E22" s="37" t="s">
        <v>69</v>
      </c>
      <c r="F22" s="93">
        <v>0</v>
      </c>
      <c r="G22" s="223"/>
      <c r="H22" s="225"/>
      <c r="I22" s="44">
        <f>IF(H20="Y",'Mach(Sorg)'!Q57,F22)</f>
        <v>0</v>
      </c>
    </row>
    <row r="23" spans="2:11" x14ac:dyDescent="0.2">
      <c r="B23" s="4"/>
      <c r="C23" s="37" t="s">
        <v>124</v>
      </c>
      <c r="D23" s="37">
        <v>1</v>
      </c>
      <c r="E23" s="37" t="s">
        <v>69</v>
      </c>
      <c r="F23" s="93">
        <v>0</v>
      </c>
      <c r="G23" s="223"/>
      <c r="H23" s="225"/>
      <c r="I23" s="44">
        <f>IF(H20="Y",(IF('Mach(Sorg)'!B5="y",'Mach(Sorg)'!P57,0)),F23)</f>
        <v>21.049011646195062</v>
      </c>
      <c r="J23" s="2"/>
    </row>
    <row r="24" spans="2:11" x14ac:dyDescent="0.2">
      <c r="B24" s="4"/>
      <c r="C24" s="12" t="s">
        <v>87</v>
      </c>
      <c r="D24" s="4">
        <v>1</v>
      </c>
      <c r="E24" s="4" t="s">
        <v>69</v>
      </c>
      <c r="F24" s="91">
        <v>0</v>
      </c>
      <c r="G24" s="175"/>
      <c r="H24" s="175"/>
      <c r="I24" s="5">
        <f>D24*F24</f>
        <v>0</v>
      </c>
      <c r="J24" t="s">
        <v>85</v>
      </c>
    </row>
    <row r="25" spans="2:11" x14ac:dyDescent="0.2">
      <c r="B25" s="4"/>
      <c r="C25" s="12" t="s">
        <v>141</v>
      </c>
      <c r="D25" s="4">
        <v>1</v>
      </c>
      <c r="E25" s="4" t="s">
        <v>69</v>
      </c>
      <c r="F25" s="91">
        <v>0</v>
      </c>
      <c r="G25" s="175"/>
      <c r="H25" s="175"/>
      <c r="I25" s="5">
        <f>D25*F25</f>
        <v>0</v>
      </c>
      <c r="J25" t="s">
        <v>85</v>
      </c>
    </row>
    <row r="26" spans="2:11" x14ac:dyDescent="0.2">
      <c r="B26" s="4"/>
      <c r="C26" s="12" t="s">
        <v>186</v>
      </c>
      <c r="D26" s="4">
        <v>1</v>
      </c>
      <c r="E26" s="4" t="s">
        <v>95</v>
      </c>
      <c r="F26" s="91">
        <v>2</v>
      </c>
      <c r="G26" s="31" t="s">
        <v>134</v>
      </c>
      <c r="H26" s="95">
        <v>3</v>
      </c>
      <c r="I26" s="32">
        <f>(F26/54.5+0.005)*D5*H26</f>
        <v>15.011009174311926</v>
      </c>
      <c r="J26" s="2"/>
      <c r="K26" s="2"/>
    </row>
    <row r="27" spans="2:11" ht="14.25" x14ac:dyDescent="0.2">
      <c r="B27" s="4"/>
      <c r="C27" s="4" t="s">
        <v>182</v>
      </c>
      <c r="D27" s="4">
        <v>1</v>
      </c>
      <c r="E27" s="4" t="s">
        <v>69</v>
      </c>
      <c r="F27" s="91">
        <v>25</v>
      </c>
      <c r="G27" s="175"/>
      <c r="H27" s="175"/>
      <c r="I27" s="5">
        <f>D27*F27</f>
        <v>25</v>
      </c>
    </row>
    <row r="28" spans="2:11" ht="14.25" x14ac:dyDescent="0.2">
      <c r="B28" s="4"/>
      <c r="C28" s="12" t="s">
        <v>183</v>
      </c>
      <c r="D28" s="4">
        <v>1</v>
      </c>
      <c r="E28" s="4" t="s">
        <v>69</v>
      </c>
      <c r="F28" s="91">
        <v>200</v>
      </c>
      <c r="G28" s="175"/>
      <c r="H28" s="175"/>
      <c r="I28" s="5">
        <f>D28*F28</f>
        <v>200</v>
      </c>
    </row>
    <row r="29" spans="2:11" x14ac:dyDescent="0.2">
      <c r="B29" s="4"/>
      <c r="C29" s="4" t="s">
        <v>188</v>
      </c>
      <c r="D29" s="4">
        <v>1</v>
      </c>
      <c r="E29" s="4" t="s">
        <v>69</v>
      </c>
      <c r="F29" s="91">
        <v>5</v>
      </c>
      <c r="G29" s="188"/>
      <c r="H29" s="188"/>
      <c r="I29" s="5">
        <f>D29*F29</f>
        <v>5</v>
      </c>
    </row>
    <row r="30" spans="2:11" x14ac:dyDescent="0.2">
      <c r="B30" s="4"/>
      <c r="C30" s="4" t="s">
        <v>70</v>
      </c>
      <c r="D30" s="69">
        <f>SUM(I10:I29)-I26-(SUM('Mach(Sorg)'!O38:O42,'Mach(Sorg)'!P38:P42,'Mach(Sorg)'!Q38:Q42,'Mach(Sorg)'!R38:R42,'Mach(Sorg)'!T38:T42))</f>
        <v>548.49719164767907</v>
      </c>
      <c r="E30" s="4" t="s">
        <v>71</v>
      </c>
      <c r="F30" s="94">
        <v>0.05</v>
      </c>
      <c r="G30" s="31" t="s">
        <v>91</v>
      </c>
      <c r="H30" s="96">
        <v>6</v>
      </c>
      <c r="I30" s="35">
        <f>D30*F30*(H30/12)</f>
        <v>13.712429791191978</v>
      </c>
    </row>
    <row r="31" spans="2:11" x14ac:dyDescent="0.2">
      <c r="B31" s="29" t="s">
        <v>72</v>
      </c>
      <c r="C31" s="4"/>
      <c r="D31" s="4"/>
      <c r="E31" s="4"/>
      <c r="F31" s="4"/>
      <c r="G31" s="177"/>
      <c r="H31" s="177"/>
      <c r="I31" s="56">
        <f>SUM(I11:I30)</f>
        <v>607.97960679904497</v>
      </c>
    </row>
    <row r="32" spans="2:11" ht="7.5" customHeight="1" x14ac:dyDescent="0.2">
      <c r="B32" s="4"/>
      <c r="C32" s="4"/>
      <c r="D32" s="4"/>
      <c r="E32" s="4"/>
      <c r="F32" s="4"/>
      <c r="G32" s="177"/>
      <c r="H32" s="177"/>
      <c r="I32" s="4"/>
    </row>
    <row r="33" spans="2:12" ht="15.75" x14ac:dyDescent="0.25">
      <c r="B33" s="185" t="s">
        <v>73</v>
      </c>
      <c r="C33" s="186"/>
      <c r="D33" s="186"/>
      <c r="E33" s="186"/>
      <c r="F33" s="186"/>
      <c r="G33" s="186"/>
      <c r="H33" s="169"/>
      <c r="I33" s="70">
        <f>I8-I31</f>
        <v>-112.97960679904497</v>
      </c>
    </row>
    <row r="34" spans="2:12" ht="7.5" customHeight="1" x14ac:dyDescent="0.2">
      <c r="B34" s="4"/>
      <c r="C34" s="4"/>
      <c r="D34" s="4"/>
      <c r="E34" s="4"/>
      <c r="F34" s="4"/>
      <c r="G34" s="177"/>
      <c r="H34" s="177"/>
      <c r="I34" s="4"/>
    </row>
    <row r="35" spans="2:12" x14ac:dyDescent="0.2">
      <c r="B35" s="29" t="s">
        <v>74</v>
      </c>
      <c r="C35" s="4"/>
      <c r="D35" s="185"/>
      <c r="E35" s="186"/>
      <c r="F35" s="186"/>
      <c r="G35" s="186"/>
      <c r="H35" s="186"/>
      <c r="I35" s="169"/>
      <c r="L35" t="s">
        <v>85</v>
      </c>
    </row>
    <row r="36" spans="2:12" x14ac:dyDescent="0.2">
      <c r="B36" s="4"/>
      <c r="C36" s="37" t="s">
        <v>125</v>
      </c>
      <c r="D36" s="37"/>
      <c r="E36" s="37"/>
      <c r="F36" s="93">
        <v>0</v>
      </c>
      <c r="G36" s="181" t="s">
        <v>102</v>
      </c>
      <c r="H36" s="182"/>
      <c r="I36" s="44">
        <f>IF(H20="Y",IF('Mach(Sorg)'!B5="y",0,'Mach(Sorg)'!P57),F36)</f>
        <v>0</v>
      </c>
    </row>
    <row r="37" spans="2:12" ht="15" customHeight="1" x14ac:dyDescent="0.2">
      <c r="B37" s="4"/>
      <c r="C37" s="37" t="s">
        <v>81</v>
      </c>
      <c r="D37" s="37"/>
      <c r="E37" s="37"/>
      <c r="F37" s="93">
        <v>0</v>
      </c>
      <c r="G37" s="183"/>
      <c r="H37" s="184"/>
      <c r="I37" s="44">
        <f>IF(H20="Y",'Mach(Sorg)'!S57-(I24*(1-'Mach(Sorg)'!B12)),F37)</f>
        <v>52.788050446045375</v>
      </c>
    </row>
    <row r="38" spans="2:12" x14ac:dyDescent="0.2">
      <c r="B38" s="4"/>
      <c r="C38" s="4" t="s">
        <v>86</v>
      </c>
      <c r="D38" s="4">
        <v>1</v>
      </c>
      <c r="E38" s="4" t="s">
        <v>69</v>
      </c>
      <c r="F38" s="91">
        <v>5</v>
      </c>
      <c r="G38" s="177"/>
      <c r="H38" s="177"/>
      <c r="I38" s="5">
        <f>D38*F38</f>
        <v>5</v>
      </c>
    </row>
    <row r="39" spans="2:12" x14ac:dyDescent="0.2">
      <c r="B39" s="4"/>
      <c r="C39" s="4" t="s">
        <v>187</v>
      </c>
      <c r="D39" s="4">
        <v>1</v>
      </c>
      <c r="E39" s="4" t="s">
        <v>69</v>
      </c>
      <c r="F39" s="91">
        <v>5</v>
      </c>
      <c r="G39" s="177"/>
      <c r="H39" s="177"/>
      <c r="I39" s="35">
        <f>D39*F39</f>
        <v>5</v>
      </c>
    </row>
    <row r="40" spans="2:12" ht="15.75" x14ac:dyDescent="0.25">
      <c r="B40" s="185" t="s">
        <v>75</v>
      </c>
      <c r="C40" s="186"/>
      <c r="D40" s="186"/>
      <c r="E40" s="186"/>
      <c r="F40" s="186"/>
      <c r="G40" s="186"/>
      <c r="H40" s="169"/>
      <c r="I40" s="70">
        <f>I33-(SUM(I36:I39))</f>
        <v>-175.76765724509033</v>
      </c>
      <c r="J40" t="s">
        <v>85</v>
      </c>
    </row>
    <row r="41" spans="2:12" x14ac:dyDescent="0.2">
      <c r="B41" s="4"/>
      <c r="C41" s="4"/>
      <c r="D41" s="4"/>
      <c r="E41" s="4"/>
      <c r="F41" s="4"/>
      <c r="G41" s="177"/>
      <c r="H41" s="177"/>
      <c r="I41" s="4"/>
    </row>
    <row r="42" spans="2:12" ht="15.75" x14ac:dyDescent="0.25">
      <c r="B42" s="244" t="str">
        <f>"Breakeven Yield at $" &amp; ROUND(F5,2) &amp;" /bushel"</f>
        <v>Breakeven Yield at $4 /bushel</v>
      </c>
      <c r="C42" s="245"/>
      <c r="D42" s="33">
        <f>I31/F5</f>
        <v>151.99490169976124</v>
      </c>
      <c r="E42" s="246" t="s">
        <v>76</v>
      </c>
      <c r="F42" s="218"/>
      <c r="G42" s="218"/>
      <c r="H42" s="218"/>
      <c r="I42" s="247"/>
      <c r="J42" s="24"/>
      <c r="K42" s="24"/>
    </row>
    <row r="43" spans="2:12" ht="15.75" x14ac:dyDescent="0.25">
      <c r="B43" s="244" t="str">
        <f>"Breakeven Cost at " &amp; ROUND(D5,0) &amp;" bu/acre"</f>
        <v>Breakeven Cost at 120 bu/acre</v>
      </c>
      <c r="C43" s="245"/>
      <c r="D43" s="34">
        <f>I31/D5</f>
        <v>5.0664967233253746</v>
      </c>
      <c r="E43" s="246" t="s">
        <v>154</v>
      </c>
      <c r="F43" s="218"/>
      <c r="G43" s="218"/>
      <c r="H43" s="218"/>
      <c r="I43" s="247"/>
      <c r="J43" s="24"/>
      <c r="K43" s="24"/>
    </row>
    <row r="44" spans="2:12" ht="15.75" x14ac:dyDescent="0.25">
      <c r="B44" s="244" t="str">
        <f>"Breakeven Cost at " &amp; ROUND(D5,0) &amp;" bu/acre"</f>
        <v>Breakeven Cost at 120 bu/acre</v>
      </c>
      <c r="C44" s="245"/>
      <c r="D44" s="34">
        <f>(I31+SUM(I36:I39))/D5</f>
        <v>5.5897304770424201</v>
      </c>
      <c r="E44" s="246" t="s">
        <v>155</v>
      </c>
      <c r="F44" s="218"/>
      <c r="G44" s="218"/>
      <c r="H44" s="218"/>
      <c r="I44" s="247"/>
    </row>
    <row r="45" spans="2:12" x14ac:dyDescent="0.2">
      <c r="B45" s="180"/>
      <c r="C45" s="180"/>
      <c r="D45" s="180"/>
      <c r="E45" s="180"/>
      <c r="F45" s="180"/>
      <c r="G45" s="180"/>
      <c r="H45" s="180"/>
      <c r="I45" s="180"/>
    </row>
    <row r="46" spans="2:12" x14ac:dyDescent="0.2">
      <c r="B46" s="176" t="s">
        <v>171</v>
      </c>
      <c r="C46" s="176"/>
      <c r="D46" s="176"/>
      <c r="E46" s="176"/>
      <c r="F46" s="176"/>
      <c r="G46" s="176"/>
      <c r="H46" s="176"/>
      <c r="I46" s="176"/>
    </row>
    <row r="47" spans="2:12" x14ac:dyDescent="0.2">
      <c r="B47" s="208" t="s">
        <v>173</v>
      </c>
      <c r="C47" s="180"/>
      <c r="D47" s="180"/>
      <c r="E47" s="180"/>
      <c r="F47" s="180"/>
      <c r="G47" s="180"/>
      <c r="H47" s="180"/>
      <c r="I47" s="180"/>
    </row>
    <row r="48" spans="2:12" ht="13.15" customHeight="1" x14ac:dyDescent="0.2">
      <c r="B48" s="208" t="s">
        <v>180</v>
      </c>
      <c r="C48" s="180"/>
      <c r="D48" s="180"/>
      <c r="E48" s="180"/>
      <c r="F48" s="180"/>
      <c r="G48" s="180"/>
      <c r="H48" s="180"/>
      <c r="I48" s="180"/>
    </row>
    <row r="49" spans="2:9" x14ac:dyDescent="0.2">
      <c r="B49" s="208" t="s">
        <v>185</v>
      </c>
      <c r="C49" s="180"/>
      <c r="D49" s="180"/>
      <c r="E49" s="180"/>
      <c r="F49" s="180"/>
      <c r="G49" s="180"/>
      <c r="H49" s="180"/>
      <c r="I49" s="180"/>
    </row>
    <row r="50" spans="2:9" x14ac:dyDescent="0.2">
      <c r="B50" s="208" t="s">
        <v>181</v>
      </c>
      <c r="C50" s="180"/>
      <c r="D50" s="180"/>
      <c r="E50" s="180"/>
      <c r="F50" s="180"/>
      <c r="G50" s="180"/>
      <c r="H50" s="180"/>
      <c r="I50" s="180"/>
    </row>
    <row r="51" spans="2:9" x14ac:dyDescent="0.2">
      <c r="B51" s="180"/>
      <c r="C51" s="180"/>
      <c r="D51" s="180"/>
      <c r="E51" s="180"/>
      <c r="F51" s="180"/>
      <c r="G51" s="180"/>
      <c r="H51" s="180"/>
      <c r="I51" s="180"/>
    </row>
    <row r="53" spans="2:9" hidden="1" x14ac:dyDescent="0.2">
      <c r="F53">
        <v>5</v>
      </c>
      <c r="G53" t="s">
        <v>101</v>
      </c>
    </row>
    <row r="54" spans="2:9" hidden="1" x14ac:dyDescent="0.2">
      <c r="F54">
        <v>6</v>
      </c>
      <c r="G54" t="s">
        <v>59</v>
      </c>
    </row>
    <row r="55" spans="2:9" hidden="1" x14ac:dyDescent="0.2">
      <c r="F55">
        <v>7</v>
      </c>
    </row>
    <row r="56" spans="2:9" hidden="1" x14ac:dyDescent="0.2">
      <c r="F56">
        <v>8</v>
      </c>
    </row>
  </sheetData>
  <sheetProtection formatCells="0" formatColumns="0" formatRows="0"/>
  <mergeCells count="49">
    <mergeCell ref="D35:I35"/>
    <mergeCell ref="B40:H40"/>
    <mergeCell ref="B44:C44"/>
    <mergeCell ref="E44:I44"/>
    <mergeCell ref="G2:H2"/>
    <mergeCell ref="G36:H37"/>
    <mergeCell ref="G39:H39"/>
    <mergeCell ref="B43:C43"/>
    <mergeCell ref="E43:I43"/>
    <mergeCell ref="G28:H28"/>
    <mergeCell ref="G25:H25"/>
    <mergeCell ref="H20:H23"/>
    <mergeCell ref="G8:H8"/>
    <mergeCell ref="G12:H12"/>
    <mergeCell ref="G24:H24"/>
    <mergeCell ref="G27:H27"/>
    <mergeCell ref="G14:H14"/>
    <mergeCell ref="G16:H16"/>
    <mergeCell ref="G17:H17"/>
    <mergeCell ref="G18:H18"/>
    <mergeCell ref="G19:H19"/>
    <mergeCell ref="G15:H15"/>
    <mergeCell ref="B1:I1"/>
    <mergeCell ref="G3:H3"/>
    <mergeCell ref="G5:H5"/>
    <mergeCell ref="G7:H7"/>
    <mergeCell ref="D4:I4"/>
    <mergeCell ref="G6:H6"/>
    <mergeCell ref="G9:H9"/>
    <mergeCell ref="B45:I45"/>
    <mergeCell ref="B48:I48"/>
    <mergeCell ref="G20:G23"/>
    <mergeCell ref="G13:H13"/>
    <mergeCell ref="D10:I10"/>
    <mergeCell ref="B33:H33"/>
    <mergeCell ref="G11:H11"/>
    <mergeCell ref="B42:C42"/>
    <mergeCell ref="E42:I42"/>
    <mergeCell ref="G29:H29"/>
    <mergeCell ref="G31:H31"/>
    <mergeCell ref="G32:H32"/>
    <mergeCell ref="G41:H41"/>
    <mergeCell ref="G34:H34"/>
    <mergeCell ref="G38:H38"/>
    <mergeCell ref="B51:I51"/>
    <mergeCell ref="B46:I46"/>
    <mergeCell ref="B47:I47"/>
    <mergeCell ref="B49:I49"/>
    <mergeCell ref="B50:I50"/>
  </mergeCells>
  <phoneticPr fontId="6" type="noConversion"/>
  <dataValidations count="2">
    <dataValidation type="list" allowBlank="1" showInputMessage="1" showErrorMessage="1" sqref="H30">
      <formula1>$F$53:$F$56</formula1>
    </dataValidation>
    <dataValidation type="list" allowBlank="1" showInputMessage="1" showErrorMessage="1" sqref="H20:H23">
      <formula1>$G$53:$G$54</formula1>
    </dataValidation>
  </dataValidations>
  <pageMargins left="0.75" right="0.75" top="1" bottom="1" header="0.5" footer="0.5"/>
  <pageSetup scale="81" orientation="portrait" r:id="rId1"/>
  <headerFooter alignWithMargins="0"/>
  <ignoredErrors>
    <ignoredError sqref="I26"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workbookViewId="0">
      <pane ySplit="16" topLeftCell="A40" activePane="bottomLeft" state="frozen"/>
      <selection activeCell="I38" sqref="I38"/>
      <selection pane="bottomLeft" activeCell="U41" sqref="U41"/>
    </sheetView>
  </sheetViews>
  <sheetFormatPr defaultRowHeight="12.75" x14ac:dyDescent="0.2"/>
  <cols>
    <col min="1" max="1" width="32.42578125" customWidth="1"/>
    <col min="4" max="4" width="9.7109375" customWidth="1"/>
    <col min="5" max="5" width="8.5703125" customWidth="1"/>
    <col min="6" max="6" width="7.85546875" customWidth="1"/>
    <col min="7" max="7" width="9" customWidth="1"/>
    <col min="8" max="8" width="7.5703125" customWidth="1"/>
    <col min="9" max="10" width="7.140625" customWidth="1"/>
    <col min="11" max="11" width="0" hidden="1" customWidth="1"/>
    <col min="12" max="12" width="8.42578125" hidden="1" customWidth="1"/>
    <col min="13" max="13" width="8.7109375" hidden="1" customWidth="1"/>
    <col min="14" max="14" width="4.7109375" customWidth="1"/>
    <col min="15" max="15" width="8.5703125" customWidth="1"/>
    <col min="16" max="16" width="8.140625" customWidth="1"/>
    <col min="17" max="17" width="8.7109375" customWidth="1"/>
    <col min="18" max="18" width="8.42578125" customWidth="1"/>
    <col min="19" max="19" width="8.5703125" customWidth="1"/>
    <col min="20" max="20" width="8.42578125" customWidth="1"/>
  </cols>
  <sheetData>
    <row r="1" spans="1:20" ht="18" x14ac:dyDescent="0.25">
      <c r="A1" s="228" t="s">
        <v>131</v>
      </c>
      <c r="B1" s="229"/>
      <c r="C1" s="229"/>
      <c r="D1" s="229"/>
      <c r="E1" s="229"/>
      <c r="F1" s="229"/>
      <c r="G1" s="229"/>
      <c r="H1" s="229"/>
      <c r="I1" s="229"/>
      <c r="J1" s="229"/>
      <c r="K1" s="229"/>
      <c r="L1" s="229"/>
      <c r="M1" s="229"/>
      <c r="N1" s="229"/>
      <c r="O1" s="229"/>
      <c r="P1" s="229"/>
      <c r="Q1" s="229"/>
      <c r="R1" s="229"/>
      <c r="S1" s="229"/>
      <c r="T1" s="230"/>
    </row>
    <row r="2" spans="1:20" x14ac:dyDescent="0.2">
      <c r="A2" s="4" t="s">
        <v>192</v>
      </c>
      <c r="B2" s="101">
        <v>2</v>
      </c>
      <c r="C2" s="4"/>
      <c r="D2" s="54"/>
      <c r="E2" s="231" t="s">
        <v>121</v>
      </c>
      <c r="F2" s="186"/>
      <c r="G2" s="186"/>
      <c r="H2" s="186"/>
      <c r="I2" s="186"/>
      <c r="J2" s="186"/>
      <c r="K2" s="186"/>
      <c r="L2" s="186"/>
      <c r="M2" s="186"/>
      <c r="N2" s="186"/>
      <c r="O2" s="186"/>
      <c r="P2" s="186"/>
      <c r="Q2" s="186"/>
      <c r="R2" s="186"/>
      <c r="S2" s="186"/>
      <c r="T2" s="169"/>
    </row>
    <row r="3" spans="1:20" x14ac:dyDescent="0.2">
      <c r="A3" s="30" t="s">
        <v>198</v>
      </c>
      <c r="B3" s="31">
        <f>'Machinery Calculations'!C6</f>
        <v>2</v>
      </c>
      <c r="C3" s="17"/>
      <c r="D3" s="47"/>
      <c r="E3" s="226" t="s">
        <v>109</v>
      </c>
      <c r="F3" s="186"/>
      <c r="G3" s="186"/>
      <c r="H3" s="186"/>
      <c r="I3" s="186"/>
      <c r="J3" s="186"/>
      <c r="K3" s="186"/>
      <c r="L3" s="186"/>
      <c r="M3" s="186"/>
      <c r="N3" s="186"/>
      <c r="O3" s="186"/>
      <c r="P3" s="186"/>
      <c r="Q3" s="186"/>
      <c r="R3" s="186"/>
      <c r="S3" s="186"/>
      <c r="T3" s="169"/>
    </row>
    <row r="4" spans="1:20" x14ac:dyDescent="0.2">
      <c r="A4" s="4" t="s">
        <v>77</v>
      </c>
      <c r="B4" s="31">
        <f>'Machinery Calculations'!C7</f>
        <v>12.5</v>
      </c>
      <c r="C4" s="17"/>
      <c r="D4" s="47"/>
      <c r="E4" s="226" t="s">
        <v>111</v>
      </c>
      <c r="F4" s="186"/>
      <c r="G4" s="186"/>
      <c r="H4" s="186"/>
      <c r="I4" s="186"/>
      <c r="J4" s="186"/>
      <c r="K4" s="186"/>
      <c r="L4" s="186"/>
      <c r="M4" s="186"/>
      <c r="N4" s="186"/>
      <c r="O4" s="186"/>
      <c r="P4" s="186"/>
      <c r="Q4" s="186"/>
      <c r="R4" s="186"/>
      <c r="S4" s="186"/>
      <c r="T4" s="169"/>
    </row>
    <row r="5" spans="1:20" x14ac:dyDescent="0.2">
      <c r="A5" s="4" t="s">
        <v>126</v>
      </c>
      <c r="B5" s="31" t="str">
        <f>'Machinery Calculations'!C8</f>
        <v>Y</v>
      </c>
      <c r="C5" s="17"/>
      <c r="D5" s="47"/>
      <c r="E5" s="226" t="s">
        <v>117</v>
      </c>
      <c r="F5" s="186"/>
      <c r="G5" s="186"/>
      <c r="H5" s="186"/>
      <c r="I5" s="186"/>
      <c r="J5" s="186"/>
      <c r="K5" s="186"/>
      <c r="L5" s="186"/>
      <c r="M5" s="186"/>
      <c r="N5" s="186"/>
      <c r="O5" s="186"/>
      <c r="P5" s="186"/>
      <c r="Q5" s="186"/>
      <c r="R5" s="186"/>
      <c r="S5" s="186"/>
      <c r="T5" s="169"/>
    </row>
    <row r="6" spans="1:20" x14ac:dyDescent="0.2">
      <c r="A6" s="4" t="s">
        <v>78</v>
      </c>
      <c r="B6" s="31">
        <f>'Machinery Calculations'!C9</f>
        <v>12.5</v>
      </c>
      <c r="C6" s="17"/>
      <c r="D6" s="47"/>
      <c r="E6" s="226" t="s">
        <v>110</v>
      </c>
      <c r="F6" s="186"/>
      <c r="G6" s="186"/>
      <c r="H6" s="186"/>
      <c r="I6" s="186"/>
      <c r="J6" s="186"/>
      <c r="K6" s="186"/>
      <c r="L6" s="186"/>
      <c r="M6" s="186"/>
      <c r="N6" s="186"/>
      <c r="O6" s="186"/>
      <c r="P6" s="186"/>
      <c r="Q6" s="186"/>
      <c r="R6" s="186"/>
      <c r="S6" s="186"/>
      <c r="T6" s="169"/>
    </row>
    <row r="7" spans="1:20" x14ac:dyDescent="0.2">
      <c r="A7" s="4" t="s">
        <v>79</v>
      </c>
      <c r="B7" s="58">
        <f>'Machinery Calculations'!C10</f>
        <v>0</v>
      </c>
      <c r="C7" s="17"/>
      <c r="D7" s="47"/>
      <c r="E7" s="226" t="s">
        <v>118</v>
      </c>
      <c r="F7" s="186"/>
      <c r="G7" s="186"/>
      <c r="H7" s="186"/>
      <c r="I7" s="186"/>
      <c r="J7" s="186"/>
      <c r="K7" s="186"/>
      <c r="L7" s="186"/>
      <c r="M7" s="186"/>
      <c r="N7" s="186"/>
      <c r="O7" s="186"/>
      <c r="P7" s="186"/>
      <c r="Q7" s="186"/>
      <c r="R7" s="186"/>
      <c r="S7" s="186"/>
      <c r="T7" s="169"/>
    </row>
    <row r="8" spans="1:20" x14ac:dyDescent="0.2">
      <c r="A8" s="4" t="s">
        <v>114</v>
      </c>
      <c r="B8" s="59">
        <f>'Sorghum-Corn'!J19</f>
        <v>25</v>
      </c>
      <c r="C8" s="17"/>
      <c r="D8" s="47"/>
      <c r="E8" s="226" t="s">
        <v>130</v>
      </c>
      <c r="F8" s="186"/>
      <c r="G8" s="186"/>
      <c r="H8" s="186"/>
      <c r="I8" s="186"/>
      <c r="J8" s="186"/>
      <c r="K8" s="186"/>
      <c r="L8" s="186"/>
      <c r="M8" s="186"/>
      <c r="N8" s="186"/>
      <c r="O8" s="186"/>
      <c r="P8" s="186"/>
      <c r="Q8" s="186"/>
      <c r="R8" s="186"/>
      <c r="S8" s="186"/>
      <c r="T8" s="169"/>
    </row>
    <row r="9" spans="1:20" x14ac:dyDescent="0.2">
      <c r="A9" s="227" t="s">
        <v>115</v>
      </c>
      <c r="B9" s="186"/>
      <c r="C9" s="186"/>
      <c r="D9" s="169"/>
      <c r="E9" s="226" t="s">
        <v>119</v>
      </c>
      <c r="F9" s="186"/>
      <c r="G9" s="186"/>
      <c r="H9" s="186"/>
      <c r="I9" s="186"/>
      <c r="J9" s="186"/>
      <c r="K9" s="186"/>
      <c r="L9" s="186"/>
      <c r="M9" s="186"/>
      <c r="N9" s="186"/>
      <c r="O9" s="186"/>
      <c r="P9" s="186"/>
      <c r="Q9" s="186"/>
      <c r="R9" s="186"/>
      <c r="S9" s="186"/>
      <c r="T9" s="169"/>
    </row>
    <row r="10" spans="1:20" x14ac:dyDescent="0.2">
      <c r="A10" s="227" t="s">
        <v>116</v>
      </c>
      <c r="B10" s="186"/>
      <c r="C10" s="186"/>
      <c r="D10" s="169"/>
      <c r="E10" s="226" t="s">
        <v>132</v>
      </c>
      <c r="F10" s="186"/>
      <c r="G10" s="186"/>
      <c r="H10" s="186"/>
      <c r="I10" s="186"/>
      <c r="J10" s="186"/>
      <c r="K10" s="186"/>
      <c r="L10" s="186"/>
      <c r="M10" s="186"/>
      <c r="N10" s="186"/>
      <c r="O10" s="186"/>
      <c r="P10" s="186"/>
      <c r="Q10" s="186"/>
      <c r="R10" s="186"/>
      <c r="S10" s="186"/>
      <c r="T10" s="169"/>
    </row>
    <row r="11" spans="1:20" x14ac:dyDescent="0.2">
      <c r="A11" s="227" t="s">
        <v>129</v>
      </c>
      <c r="B11" s="186"/>
      <c r="C11" s="186"/>
      <c r="D11" s="169"/>
      <c r="E11" s="226" t="s">
        <v>133</v>
      </c>
      <c r="F11" s="186"/>
      <c r="G11" s="186"/>
      <c r="H11" s="186"/>
      <c r="I11" s="186"/>
      <c r="J11" s="186"/>
      <c r="K11" s="186"/>
      <c r="L11" s="186"/>
      <c r="M11" s="186"/>
      <c r="N11" s="186"/>
      <c r="O11" s="186"/>
      <c r="P11" s="186"/>
      <c r="Q11" s="186"/>
      <c r="R11" s="186"/>
      <c r="S11" s="186"/>
      <c r="T11" s="169"/>
    </row>
    <row r="12" spans="1:20" hidden="1" x14ac:dyDescent="0.2">
      <c r="A12" s="4" t="s">
        <v>92</v>
      </c>
      <c r="B12" s="18">
        <v>0.33</v>
      </c>
      <c r="C12" s="18"/>
      <c r="D12" s="48"/>
      <c r="E12" s="207"/>
      <c r="F12" s="186"/>
      <c r="G12" s="186"/>
      <c r="H12" s="186"/>
      <c r="I12" s="186"/>
      <c r="J12" s="186"/>
      <c r="K12" s="186"/>
      <c r="L12" s="186"/>
      <c r="M12" s="186"/>
      <c r="N12" s="186"/>
      <c r="O12" s="186"/>
      <c r="P12" s="186"/>
      <c r="Q12" s="186"/>
      <c r="R12" s="186"/>
      <c r="S12" s="186"/>
      <c r="T12" s="169"/>
    </row>
    <row r="13" spans="1:20" ht="13.15" customHeight="1" x14ac:dyDescent="0.2">
      <c r="A13" s="4"/>
      <c r="B13" s="55"/>
      <c r="C13" s="55"/>
      <c r="D13" s="55"/>
      <c r="E13" s="232" t="s">
        <v>112</v>
      </c>
      <c r="F13" s="233"/>
      <c r="G13" s="233"/>
      <c r="H13" s="233"/>
      <c r="I13" s="233"/>
      <c r="J13" s="233"/>
      <c r="K13" s="233"/>
      <c r="L13" s="233"/>
      <c r="M13" s="233"/>
      <c r="N13" s="234"/>
      <c r="O13" s="241" t="s">
        <v>107</v>
      </c>
      <c r="P13" s="242"/>
      <c r="Q13" s="242"/>
      <c r="R13" s="242"/>
      <c r="S13" s="242"/>
      <c r="T13" s="243"/>
    </row>
    <row r="14" spans="1:20" x14ac:dyDescent="0.2">
      <c r="A14" s="4" t="s">
        <v>170</v>
      </c>
      <c r="B14" s="83">
        <v>0.75</v>
      </c>
      <c r="C14" s="55"/>
      <c r="D14" s="55"/>
      <c r="E14" s="235"/>
      <c r="F14" s="209"/>
      <c r="G14" s="209"/>
      <c r="H14" s="209"/>
      <c r="I14" s="209"/>
      <c r="J14" s="209"/>
      <c r="K14" s="209"/>
      <c r="L14" s="209"/>
      <c r="M14" s="209"/>
      <c r="N14" s="236"/>
      <c r="O14" s="60" t="str">
        <f>'Machinery Calculations'!$C4</f>
        <v>Increase</v>
      </c>
      <c r="P14" s="60" t="str">
        <f>'Machinery Calculations'!$C4</f>
        <v>Increase</v>
      </c>
      <c r="Q14" s="60" t="str">
        <f>'Machinery Calculations'!$C4</f>
        <v>Increase</v>
      </c>
      <c r="R14" s="60" t="str">
        <f>'Machinery Calculations'!$C4</f>
        <v>Increase</v>
      </c>
      <c r="S14" s="60" t="str">
        <f>'Machinery Calculations'!$C4</f>
        <v>Increase</v>
      </c>
      <c r="T14" s="60" t="str">
        <f>'Machinery Calculations'!$C4</f>
        <v>Increase</v>
      </c>
    </row>
    <row r="15" spans="1:20" x14ac:dyDescent="0.2">
      <c r="A15" s="4"/>
      <c r="B15" s="55"/>
      <c r="C15" s="55"/>
      <c r="D15" s="55"/>
      <c r="E15" s="237"/>
      <c r="F15" s="238"/>
      <c r="G15" s="238"/>
      <c r="H15" s="238"/>
      <c r="I15" s="238"/>
      <c r="J15" s="238"/>
      <c r="K15" s="238"/>
      <c r="L15" s="238"/>
      <c r="M15" s="238"/>
      <c r="N15" s="239"/>
      <c r="O15" s="58">
        <f>'Machinery Calculations'!$C5</f>
        <v>0.2</v>
      </c>
      <c r="P15" s="58">
        <f>'Machinery Calculations'!$C5</f>
        <v>0.2</v>
      </c>
      <c r="Q15" s="58">
        <f>'Machinery Calculations'!$C5</f>
        <v>0.2</v>
      </c>
      <c r="R15" s="58">
        <f>'Machinery Calculations'!$C5</f>
        <v>0.2</v>
      </c>
      <c r="S15" s="58">
        <f>'Machinery Calculations'!$C5</f>
        <v>0.2</v>
      </c>
      <c r="T15" s="58">
        <f>'Machinery Calculations'!$C5</f>
        <v>0.2</v>
      </c>
    </row>
    <row r="16" spans="1:20" s="1" customFormat="1" ht="43.15" customHeight="1" x14ac:dyDescent="0.2">
      <c r="A16" s="3" t="s">
        <v>0</v>
      </c>
      <c r="B16" s="38" t="s">
        <v>1</v>
      </c>
      <c r="C16" s="38" t="s">
        <v>120</v>
      </c>
      <c r="D16" s="38" t="s">
        <v>128</v>
      </c>
      <c r="E16" s="3" t="s">
        <v>197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
      <c r="A17" s="4"/>
      <c r="B17" s="39"/>
      <c r="C17" s="37"/>
      <c r="D17" s="49"/>
      <c r="E17" s="4"/>
      <c r="F17" s="4"/>
      <c r="G17" s="4"/>
      <c r="H17" s="4"/>
      <c r="I17" s="4"/>
      <c r="J17" s="4"/>
      <c r="K17" s="4"/>
      <c r="L17" s="4"/>
      <c r="M17" s="4"/>
      <c r="N17" s="4"/>
      <c r="O17" s="4"/>
      <c r="P17" s="4"/>
      <c r="Q17" s="4"/>
      <c r="R17" s="4"/>
      <c r="S17" s="4"/>
      <c r="T17" s="4"/>
    </row>
    <row r="18" spans="1:20" x14ac:dyDescent="0.2">
      <c r="A18" s="13" t="s">
        <v>11</v>
      </c>
      <c r="B18" s="40"/>
      <c r="C18" s="41"/>
      <c r="D18" s="50"/>
      <c r="E18" s="9"/>
      <c r="F18" s="9"/>
      <c r="G18" s="12"/>
      <c r="H18" s="12"/>
      <c r="I18" s="4"/>
      <c r="J18" s="4"/>
      <c r="K18" s="4"/>
      <c r="L18" s="4"/>
      <c r="M18" s="4"/>
      <c r="N18" s="4"/>
      <c r="O18" s="4"/>
      <c r="P18" s="4"/>
      <c r="Q18" s="4"/>
      <c r="R18" s="4"/>
      <c r="S18" s="4"/>
      <c r="T18" s="4"/>
    </row>
    <row r="19" spans="1:20" x14ac:dyDescent="0.2">
      <c r="A19" s="12" t="s">
        <v>14</v>
      </c>
      <c r="B19" s="42"/>
      <c r="C19" s="43"/>
      <c r="D19" s="51"/>
      <c r="E19" s="9">
        <v>15.129285653625832</v>
      </c>
      <c r="F19" s="9">
        <f t="shared" ref="F19:F21" si="0">IF(D19&gt;0,D19,E19-(G19*B$2*1.05)+H19-I19*12.5+J19)</f>
        <v>15.129285653625832</v>
      </c>
      <c r="G19" s="14">
        <v>0.90200000000000002</v>
      </c>
      <c r="H19" s="5">
        <f t="shared" ref="H19:H21" si="1">G19*B$3*1.05</f>
        <v>1.8942000000000001</v>
      </c>
      <c r="I19" s="15">
        <v>0.13191919191919191</v>
      </c>
      <c r="J19" s="5">
        <f t="shared" ref="J19:J21" si="2">I19*B$4</f>
        <v>1.6489898989898988</v>
      </c>
      <c r="K19" s="5">
        <f t="shared" ref="K19:K21" si="3">F19-H19-J19</f>
        <v>11.586095754635934</v>
      </c>
      <c r="L19" s="5">
        <f t="shared" ref="L19:L21" si="4">K19*B$12</f>
        <v>3.8234115990298587</v>
      </c>
      <c r="M19" s="5">
        <f t="shared" ref="M19:M21" si="5">K19-L19</f>
        <v>7.7626841556060757</v>
      </c>
      <c r="N19" s="4"/>
      <c r="O19" s="32">
        <f t="shared" ref="O19:O21" si="6">IF(O$14="Increase",IF(C19="y",0,IF($B19&gt;0,H19*$B19*(1+O$15),0)),IF(C19="y",0,IF($B19&gt;0,H19*$B19*(1-O$15),0)))</f>
        <v>0</v>
      </c>
      <c r="P19" s="32">
        <f t="shared" ref="P19:P21" si="7">IF(P$14="Increase",IF(C19="y",0,IF($B19&gt;0,(I19*B$4*(1-B$7))*$B19*(1+P$15),0)),IF(C19="y",0,IF($B19&gt;0,(I19*B$4*(1-B$7))*$B19*(1-P$15),0)))</f>
        <v>0</v>
      </c>
      <c r="Q19" s="32">
        <f t="shared" ref="Q19:Q21" si="8">IF(Q$14="Increase",IF(C19="y",0,IF($B19&gt;0,(I19*B$6*(B$7))*$B19*(1+Q$15),0)),IF(C19="y",0,IF($B19&gt;0,(I19*B$6*(B$7))*$B19*(1-Q$15),0)))</f>
        <v>0</v>
      </c>
      <c r="R19" s="32">
        <f t="shared" ref="R19:R21" si="9">IF(R$14="Increase",IF(C19="y",0,IF($B19&gt;0,L19*$B19*(1+R$15),0)),IF(C19="y",0,IF($B19&gt;0,L19*$B19*(1-R$15),0)))</f>
        <v>0</v>
      </c>
      <c r="S19" s="32">
        <f t="shared" ref="S19:S21" si="10">IF(S$14="Increase",IF(C19="y",0,IF($B19&gt;0,M19*$B19*(1+S$15),0)),IF(C19="y",0,IF($B19&gt;0,M19*$B19*(1-S$15),0)))</f>
        <v>0</v>
      </c>
      <c r="T19" s="32">
        <f t="shared" ref="T19:T21" si="11">IF(T$14="Increase",IF(C19="y",F19*B19*(1+T$15),0),IF(C19="y",F19*B19*(1-T$15),0))</f>
        <v>0</v>
      </c>
    </row>
    <row r="20" spans="1:20" x14ac:dyDescent="0.2">
      <c r="A20" s="12" t="s">
        <v>16</v>
      </c>
      <c r="B20" s="42"/>
      <c r="C20" s="43"/>
      <c r="D20" s="51"/>
      <c r="E20" s="9">
        <v>12.216075838760961</v>
      </c>
      <c r="F20" s="9">
        <f t="shared" si="0"/>
        <v>12.216075838760961</v>
      </c>
      <c r="G20" s="14">
        <v>0.62400000000000011</v>
      </c>
      <c r="H20" s="5">
        <f t="shared" si="1"/>
        <v>1.3104000000000002</v>
      </c>
      <c r="I20" s="15">
        <v>4.631313131313132E-2</v>
      </c>
      <c r="J20" s="5">
        <f t="shared" si="2"/>
        <v>0.57891414141414155</v>
      </c>
      <c r="K20" s="5">
        <f t="shared" si="3"/>
        <v>10.32676169734682</v>
      </c>
      <c r="L20" s="5">
        <f t="shared" si="4"/>
        <v>3.4078313601244505</v>
      </c>
      <c r="M20" s="5">
        <f t="shared" si="5"/>
        <v>6.9189303372223687</v>
      </c>
      <c r="N20" s="4"/>
      <c r="O20" s="32">
        <f t="shared" si="6"/>
        <v>0</v>
      </c>
      <c r="P20" s="32">
        <f t="shared" si="7"/>
        <v>0</v>
      </c>
      <c r="Q20" s="32">
        <f t="shared" si="8"/>
        <v>0</v>
      </c>
      <c r="R20" s="32">
        <f t="shared" si="9"/>
        <v>0</v>
      </c>
      <c r="S20" s="32">
        <f t="shared" si="10"/>
        <v>0</v>
      </c>
      <c r="T20" s="32">
        <f t="shared" si="11"/>
        <v>0</v>
      </c>
    </row>
    <row r="21" spans="1:20" x14ac:dyDescent="0.2">
      <c r="A21" s="12" t="s">
        <v>20</v>
      </c>
      <c r="B21" s="42"/>
      <c r="C21" s="43"/>
      <c r="D21" s="51"/>
      <c r="E21" s="9">
        <v>12.25808807850461</v>
      </c>
      <c r="F21" s="9">
        <f t="shared" si="0"/>
        <v>12.25808807850461</v>
      </c>
      <c r="G21" s="14">
        <v>0.85099999999999998</v>
      </c>
      <c r="H21" s="5">
        <f t="shared" si="1"/>
        <v>1.7871000000000001</v>
      </c>
      <c r="I21" s="15">
        <v>0.14181818181818182</v>
      </c>
      <c r="J21" s="5">
        <f t="shared" si="2"/>
        <v>1.7727272727272727</v>
      </c>
      <c r="K21" s="5">
        <f t="shared" si="3"/>
        <v>8.6982608057773358</v>
      </c>
      <c r="L21" s="5">
        <f t="shared" si="4"/>
        <v>2.8704260659065208</v>
      </c>
      <c r="M21" s="5">
        <f t="shared" si="5"/>
        <v>5.8278347398708146</v>
      </c>
      <c r="N21" s="4"/>
      <c r="O21" s="32">
        <f t="shared" si="6"/>
        <v>0</v>
      </c>
      <c r="P21" s="32">
        <f t="shared" si="7"/>
        <v>0</v>
      </c>
      <c r="Q21" s="32">
        <f t="shared" si="8"/>
        <v>0</v>
      </c>
      <c r="R21" s="32">
        <f t="shared" si="9"/>
        <v>0</v>
      </c>
      <c r="S21" s="32">
        <f t="shared" si="10"/>
        <v>0</v>
      </c>
      <c r="T21" s="32">
        <f t="shared" si="11"/>
        <v>0</v>
      </c>
    </row>
    <row r="22" spans="1:20" x14ac:dyDescent="0.2">
      <c r="A22" s="12"/>
      <c r="B22" s="42"/>
      <c r="C22" s="43"/>
      <c r="D22" s="51"/>
      <c r="E22" s="9"/>
      <c r="F22" s="9"/>
      <c r="G22" s="12"/>
      <c r="H22" s="4"/>
      <c r="I22" s="12"/>
      <c r="J22" s="4"/>
      <c r="K22" s="4"/>
      <c r="L22" s="4"/>
      <c r="M22" s="4"/>
      <c r="N22" s="4"/>
      <c r="O22" s="4"/>
      <c r="P22" s="4"/>
      <c r="Q22" s="4"/>
      <c r="R22" s="4"/>
      <c r="S22" s="4"/>
      <c r="T22" s="4"/>
    </row>
    <row r="23" spans="1:20" x14ac:dyDescent="0.2">
      <c r="A23" s="13" t="s">
        <v>21</v>
      </c>
      <c r="B23" s="42"/>
      <c r="C23" s="43"/>
      <c r="D23" s="51"/>
      <c r="E23" s="9"/>
      <c r="F23" s="9"/>
      <c r="G23" s="12"/>
      <c r="H23" s="4"/>
      <c r="I23" s="12"/>
      <c r="J23" s="4"/>
      <c r="K23" s="4"/>
      <c r="L23" s="4"/>
      <c r="M23" s="4"/>
      <c r="N23" s="4"/>
      <c r="O23" s="4"/>
      <c r="P23" s="4"/>
      <c r="Q23" s="4"/>
      <c r="R23" s="4"/>
      <c r="S23" s="4"/>
      <c r="T23" s="4"/>
    </row>
    <row r="24" spans="1:20" x14ac:dyDescent="0.2">
      <c r="A24" s="12" t="s">
        <v>22</v>
      </c>
      <c r="B24" s="42"/>
      <c r="C24" s="43"/>
      <c r="D24" s="51"/>
      <c r="E24" s="9">
        <v>16.316065715558622</v>
      </c>
      <c r="F24" s="9">
        <f t="shared" ref="F24:F28" si="12">IF(D24&gt;0,D24,E24-(G24*B$2*1.05)+H24-I24*12.5+J24)</f>
        <v>16.316065715558622</v>
      </c>
      <c r="G24" s="14">
        <v>0.47050000000000003</v>
      </c>
      <c r="H24" s="5">
        <f t="shared" ref="H24:H28" si="13">G24*B$3*1.05</f>
        <v>0.98805000000000009</v>
      </c>
      <c r="I24" s="15">
        <v>8.037037037037037E-2</v>
      </c>
      <c r="J24" s="5">
        <f t="shared" ref="J24:J28" si="14">I24*B$4</f>
        <v>1.0046296296296295</v>
      </c>
      <c r="K24" s="5">
        <f t="shared" ref="K24:K28" si="15">F24-H24-J24</f>
        <v>14.323386085928993</v>
      </c>
      <c r="L24" s="5">
        <f t="shared" ref="L24:L28" si="16">K24*B$12</f>
        <v>4.726717408356568</v>
      </c>
      <c r="M24" s="5">
        <f t="shared" ref="M24:M28" si="17">K24-L24</f>
        <v>9.5966686775724241</v>
      </c>
      <c r="N24" s="4"/>
      <c r="O24" s="32">
        <f t="shared" ref="O24:O28" si="18">IF(O$14="Increase",IF(C24="y",0,IF($B24&gt;0,H24*$B24*(1+O$15),0)),IF(C24="y",0,IF($B24&gt;0,H24*$B24*(1-O$15),0)))</f>
        <v>0</v>
      </c>
      <c r="P24" s="32">
        <f t="shared" ref="P24:P28" si="19">IF(P$14="Increase",IF(C24="y",0,IF($B24&gt;0,(I24*B$4*(1-B$7))*$B24*(1+P$15),0)),IF(C24="y",0,IF($B24&gt;0,(I24*B$4*(1-B$7))*$B24*(1-P$15),0)))</f>
        <v>0</v>
      </c>
      <c r="Q24" s="32">
        <f t="shared" ref="Q24:Q28" si="20">IF(Q$14="Increase",IF(C24="y",0,IF($B24&gt;0,(I24*B$6*(B$7))*$B24*(1+Q$15),0)),IF(C24="y",0,IF($B24&gt;0,(I24*B$6*(B$7))*$B24*(1-Q$15),0)))</f>
        <v>0</v>
      </c>
      <c r="R24" s="32">
        <f t="shared" ref="R24:R28" si="21">IF(R$14="Increase",IF(C24="y",0,IF($B24&gt;0,L24*$B24*(1+R$15),0)),IF(C24="y",0,IF($B24&gt;0,L24*$B24*(1-R$15),0)))</f>
        <v>0</v>
      </c>
      <c r="S24" s="32">
        <f t="shared" ref="S24:S28" si="22">IF(S$14="Increase",IF(C24="y",0,IF($B24&gt;0,M24*$B24*(1+S$15),0)),IF(C24="y",0,IF($B24&gt;0,M24*$B24*(1-S$15),0)))</f>
        <v>0</v>
      </c>
      <c r="T24" s="32">
        <f t="shared" ref="T24:T28" si="23">IF(T$14="Increase",IF(C24="y",F24*B24*(1+T$15),0),IF(C24="y",F24*B24*(1-T$15),0))</f>
        <v>0</v>
      </c>
    </row>
    <row r="25" spans="1:20" x14ac:dyDescent="0.2">
      <c r="A25" s="12" t="s">
        <v>26</v>
      </c>
      <c r="B25" s="42"/>
      <c r="C25" s="43"/>
      <c r="D25" s="51"/>
      <c r="E25" s="9">
        <v>17.593679932287706</v>
      </c>
      <c r="F25" s="9">
        <f t="shared" si="12"/>
        <v>17.593679932287706</v>
      </c>
      <c r="G25" s="14">
        <v>0.52550000000000008</v>
      </c>
      <c r="H25" s="5">
        <f t="shared" si="13"/>
        <v>1.1035500000000003</v>
      </c>
      <c r="I25" s="15">
        <v>9.1481481481481469E-2</v>
      </c>
      <c r="J25" s="5">
        <f t="shared" si="14"/>
        <v>1.1435185185185184</v>
      </c>
      <c r="K25" s="5">
        <f t="shared" si="15"/>
        <v>15.346611413769189</v>
      </c>
      <c r="L25" s="5">
        <f t="shared" si="16"/>
        <v>5.0643817665438329</v>
      </c>
      <c r="M25" s="5">
        <f t="shared" si="17"/>
        <v>10.282229647225357</v>
      </c>
      <c r="N25" s="4"/>
      <c r="O25" s="32">
        <f t="shared" si="18"/>
        <v>0</v>
      </c>
      <c r="P25" s="32">
        <f t="shared" si="19"/>
        <v>0</v>
      </c>
      <c r="Q25" s="32">
        <f t="shared" si="20"/>
        <v>0</v>
      </c>
      <c r="R25" s="32">
        <f t="shared" si="21"/>
        <v>0</v>
      </c>
      <c r="S25" s="32">
        <f t="shared" si="22"/>
        <v>0</v>
      </c>
      <c r="T25" s="32">
        <f t="shared" si="23"/>
        <v>0</v>
      </c>
    </row>
    <row r="26" spans="1:20" x14ac:dyDescent="0.2">
      <c r="A26" s="12" t="s">
        <v>27</v>
      </c>
      <c r="B26" s="42"/>
      <c r="C26" s="43"/>
      <c r="D26" s="51"/>
      <c r="E26" s="9">
        <v>17.125018751218185</v>
      </c>
      <c r="F26" s="9">
        <f t="shared" si="12"/>
        <v>17.125018751218185</v>
      </c>
      <c r="G26" s="14">
        <v>0.52550000000000008</v>
      </c>
      <c r="H26" s="5">
        <f t="shared" si="13"/>
        <v>1.1035500000000003</v>
      </c>
      <c r="I26" s="15">
        <v>9.1481481481481469E-2</v>
      </c>
      <c r="J26" s="5">
        <f t="shared" si="14"/>
        <v>1.1435185185185184</v>
      </c>
      <c r="K26" s="5">
        <f t="shared" si="15"/>
        <v>14.877950232699668</v>
      </c>
      <c r="L26" s="5">
        <f t="shared" si="16"/>
        <v>4.9097235767908902</v>
      </c>
      <c r="M26" s="5">
        <f t="shared" si="17"/>
        <v>9.9682266559087775</v>
      </c>
      <c r="N26" s="4"/>
      <c r="O26" s="32">
        <f t="shared" si="18"/>
        <v>0</v>
      </c>
      <c r="P26" s="32">
        <f t="shared" si="19"/>
        <v>0</v>
      </c>
      <c r="Q26" s="32">
        <f t="shared" si="20"/>
        <v>0</v>
      </c>
      <c r="R26" s="32">
        <f t="shared" si="21"/>
        <v>0</v>
      </c>
      <c r="S26" s="32">
        <f t="shared" si="22"/>
        <v>0</v>
      </c>
      <c r="T26" s="32">
        <f t="shared" si="23"/>
        <v>0</v>
      </c>
    </row>
    <row r="27" spans="1:20" x14ac:dyDescent="0.2">
      <c r="A27" s="12" t="s">
        <v>28</v>
      </c>
      <c r="B27" s="42"/>
      <c r="C27" s="43"/>
      <c r="D27" s="51"/>
      <c r="E27" s="9">
        <v>15.525151569146237</v>
      </c>
      <c r="F27" s="9">
        <f t="shared" si="12"/>
        <v>15.525151569146237</v>
      </c>
      <c r="G27" s="14">
        <v>0.753</v>
      </c>
      <c r="H27" s="5">
        <f t="shared" si="13"/>
        <v>1.5813000000000001</v>
      </c>
      <c r="I27" s="15">
        <v>0.13851851851851851</v>
      </c>
      <c r="J27" s="5">
        <f t="shared" si="14"/>
        <v>1.7314814814814814</v>
      </c>
      <c r="K27" s="5">
        <f t="shared" si="15"/>
        <v>12.212370087664755</v>
      </c>
      <c r="L27" s="5">
        <f t="shared" si="16"/>
        <v>4.0300821289293696</v>
      </c>
      <c r="M27" s="5">
        <f t="shared" si="17"/>
        <v>8.1822879587353867</v>
      </c>
      <c r="N27" s="4"/>
      <c r="O27" s="32">
        <f t="shared" si="18"/>
        <v>0</v>
      </c>
      <c r="P27" s="32">
        <f t="shared" si="19"/>
        <v>0</v>
      </c>
      <c r="Q27" s="32">
        <f t="shared" si="20"/>
        <v>0</v>
      </c>
      <c r="R27" s="32">
        <f t="shared" si="21"/>
        <v>0</v>
      </c>
      <c r="S27" s="32">
        <f t="shared" si="22"/>
        <v>0</v>
      </c>
      <c r="T27" s="32">
        <f t="shared" si="23"/>
        <v>0</v>
      </c>
    </row>
    <row r="28" spans="1:20" x14ac:dyDescent="0.2">
      <c r="A28" s="12" t="s">
        <v>29</v>
      </c>
      <c r="B28" s="42"/>
      <c r="C28" s="43"/>
      <c r="D28" s="51"/>
      <c r="E28" s="9">
        <v>14.901150888312074</v>
      </c>
      <c r="F28" s="9">
        <f t="shared" si="12"/>
        <v>14.901150888312074</v>
      </c>
      <c r="G28" s="14">
        <v>0.753</v>
      </c>
      <c r="H28" s="5">
        <f t="shared" si="13"/>
        <v>1.5813000000000001</v>
      </c>
      <c r="I28" s="15">
        <v>0.13851851851851851</v>
      </c>
      <c r="J28" s="5">
        <f t="shared" si="14"/>
        <v>1.7314814814814814</v>
      </c>
      <c r="K28" s="5">
        <f t="shared" si="15"/>
        <v>11.588369406830592</v>
      </c>
      <c r="L28" s="5">
        <f t="shared" si="16"/>
        <v>3.8241619042540957</v>
      </c>
      <c r="M28" s="5">
        <f t="shared" si="17"/>
        <v>7.7642075025764967</v>
      </c>
      <c r="N28" s="4"/>
      <c r="O28" s="32">
        <f t="shared" si="18"/>
        <v>0</v>
      </c>
      <c r="P28" s="32">
        <f t="shared" si="19"/>
        <v>0</v>
      </c>
      <c r="Q28" s="32">
        <f t="shared" si="20"/>
        <v>0</v>
      </c>
      <c r="R28" s="32">
        <f t="shared" si="21"/>
        <v>0</v>
      </c>
      <c r="S28" s="32">
        <f t="shared" si="22"/>
        <v>0</v>
      </c>
      <c r="T28" s="32">
        <f t="shared" si="23"/>
        <v>0</v>
      </c>
    </row>
    <row r="29" spans="1:20" x14ac:dyDescent="0.2">
      <c r="A29" s="12"/>
      <c r="B29" s="42"/>
      <c r="C29" s="43"/>
      <c r="D29" s="51"/>
      <c r="E29" s="9"/>
      <c r="F29" s="9"/>
      <c r="G29" s="12"/>
      <c r="H29" s="4"/>
      <c r="I29" s="12"/>
      <c r="J29" s="4"/>
      <c r="K29" s="4"/>
      <c r="L29" s="4"/>
      <c r="M29" s="4"/>
      <c r="N29" s="4"/>
      <c r="O29" s="4"/>
      <c r="P29" s="4"/>
      <c r="Q29" s="4"/>
      <c r="R29" s="4"/>
      <c r="S29" s="4"/>
      <c r="T29" s="4"/>
    </row>
    <row r="30" spans="1:20" x14ac:dyDescent="0.2">
      <c r="A30" s="13" t="s">
        <v>30</v>
      </c>
      <c r="B30" s="42"/>
      <c r="C30" s="43"/>
      <c r="D30" s="51"/>
      <c r="E30" s="9"/>
      <c r="F30" s="9"/>
      <c r="G30" s="12"/>
      <c r="H30" s="4"/>
      <c r="I30" s="12"/>
      <c r="J30" s="4"/>
      <c r="K30" s="4"/>
      <c r="L30" s="4"/>
      <c r="M30" s="4"/>
      <c r="N30" s="4"/>
      <c r="O30" s="4"/>
      <c r="P30" s="4"/>
      <c r="Q30" s="4"/>
      <c r="R30" s="4"/>
      <c r="S30" s="4"/>
      <c r="T30" s="4"/>
    </row>
    <row r="31" spans="1:20" x14ac:dyDescent="0.2">
      <c r="A31" s="12" t="s">
        <v>31</v>
      </c>
      <c r="B31" s="42">
        <v>1</v>
      </c>
      <c r="C31" s="43"/>
      <c r="D31" s="51"/>
      <c r="E31" s="9">
        <v>17.42260549706824</v>
      </c>
      <c r="F31" s="9">
        <f t="shared" ref="F31:F35" si="24">IF(D31&gt;0,D31,E31-(G31*B$2*1.05)+H31-I31*12.5+J31)</f>
        <v>17.42260549706824</v>
      </c>
      <c r="G31" s="14">
        <v>0.79574999999999996</v>
      </c>
      <c r="H31" s="5">
        <f t="shared" ref="H31:H35" si="25">G31*B$3*1.05</f>
        <v>1.6710750000000001</v>
      </c>
      <c r="I31" s="15">
        <v>0.1025925925925926</v>
      </c>
      <c r="J31" s="5">
        <f t="shared" ref="J31:J35" si="26">I31*B$4</f>
        <v>1.2824074074074074</v>
      </c>
      <c r="K31" s="5">
        <f t="shared" ref="K31:K35" si="27">F31-H31-J31</f>
        <v>14.469123089660833</v>
      </c>
      <c r="L31" s="5">
        <f t="shared" ref="L31:L35" si="28">K31*B$12</f>
        <v>4.7748106195880755</v>
      </c>
      <c r="M31" s="5">
        <f t="shared" ref="M31:M35" si="29">K31-L31</f>
        <v>9.6943124700727576</v>
      </c>
      <c r="N31" s="4"/>
      <c r="O31" s="32">
        <f t="shared" ref="O31:O35" si="30">IF(O$14="Increase",IF(C31="y",0,IF($B31&gt;0,H31*$B31*(1+O$15),0)),IF(C31="y",0,IF($B31&gt;0,H31*$B31*(1-O$15),0)))</f>
        <v>2.00529</v>
      </c>
      <c r="P31" s="32">
        <f t="shared" ref="P31:P35" si="31">IF(P$14="Increase",IF(C31="y",0,IF($B31&gt;0,(I31*B$4*(1-B$7))*$B31*(1+P$15),0)),IF(C31="y",0,IF($B31&gt;0,(I31*B$4*(1-B$7))*$B31*(1-P$15),0)))</f>
        <v>1.538888888888889</v>
      </c>
      <c r="Q31" s="32">
        <f t="shared" ref="Q31:Q35" si="32">IF(Q$14="Increase",IF(C31="y",0,IF($B31&gt;0,(I31*B$6*(B$7))*$B31*(1+Q$15),0)),IF(C31="y",0,IF($B31&gt;0,(I31*B$6*(B$7))*$B31*(1-Q$15),0)))</f>
        <v>0</v>
      </c>
      <c r="R31" s="32">
        <f t="shared" ref="R31:R35" si="33">IF(R$14="Increase",IF(C31="y",0,IF($B31&gt;0,L31*$B31*(1+R$15),0)),IF(C31="y",0,IF($B31&gt;0,L31*$B31*(1-R$15),0)))</f>
        <v>5.7297727435056904</v>
      </c>
      <c r="S31" s="32">
        <f t="shared" ref="S31:S35" si="34">IF(S$14="Increase",IF(C31="y",0,IF($B31&gt;0,M31*$B31*(1+S$15),0)),IF(C31="y",0,IF($B31&gt;0,M31*$B31*(1-S$15),0)))</f>
        <v>11.633174964087308</v>
      </c>
      <c r="T31" s="32">
        <f t="shared" ref="T31:T35" si="35">IF(T$14="Increase",IF(C31="y",F31*B31*(1+T$15),0),IF(C31="y",F31*B31*(1-T$15),0))</f>
        <v>0</v>
      </c>
    </row>
    <row r="32" spans="1:20" x14ac:dyDescent="0.2">
      <c r="A32" s="12" t="s">
        <v>26</v>
      </c>
      <c r="B32" s="42"/>
      <c r="C32" s="43"/>
      <c r="D32" s="51"/>
      <c r="E32" s="9">
        <v>18.123359237722184</v>
      </c>
      <c r="F32" s="9">
        <f t="shared" si="24"/>
        <v>18.123359237722184</v>
      </c>
      <c r="G32" s="14">
        <v>0.79574999999999996</v>
      </c>
      <c r="H32" s="5">
        <f t="shared" si="25"/>
        <v>1.6710750000000001</v>
      </c>
      <c r="I32" s="15">
        <v>0.1025925925925926</v>
      </c>
      <c r="J32" s="5">
        <f t="shared" si="26"/>
        <v>1.2824074074074074</v>
      </c>
      <c r="K32" s="5">
        <f t="shared" si="27"/>
        <v>15.169876830314774</v>
      </c>
      <c r="L32" s="5">
        <f t="shared" si="28"/>
        <v>5.0060593540038756</v>
      </c>
      <c r="M32" s="5">
        <f t="shared" si="29"/>
        <v>10.163817476310898</v>
      </c>
      <c r="N32" s="4"/>
      <c r="O32" s="32">
        <f t="shared" si="30"/>
        <v>0</v>
      </c>
      <c r="P32" s="32">
        <f t="shared" si="31"/>
        <v>0</v>
      </c>
      <c r="Q32" s="32">
        <f t="shared" si="32"/>
        <v>0</v>
      </c>
      <c r="R32" s="32">
        <f t="shared" si="33"/>
        <v>0</v>
      </c>
      <c r="S32" s="32">
        <f t="shared" si="34"/>
        <v>0</v>
      </c>
      <c r="T32" s="32">
        <f t="shared" si="35"/>
        <v>0</v>
      </c>
    </row>
    <row r="33" spans="1:21" x14ac:dyDescent="0.2">
      <c r="A33" s="12" t="s">
        <v>27</v>
      </c>
      <c r="B33" s="42"/>
      <c r="C33" s="43"/>
      <c r="D33" s="51"/>
      <c r="E33" s="9">
        <v>18.334256769203471</v>
      </c>
      <c r="F33" s="9">
        <f t="shared" si="24"/>
        <v>18.334256769203471</v>
      </c>
      <c r="G33" s="14">
        <v>0.79574999999999996</v>
      </c>
      <c r="H33" s="5">
        <f t="shared" si="25"/>
        <v>1.6710750000000001</v>
      </c>
      <c r="I33" s="15">
        <v>0.1025925925925926</v>
      </c>
      <c r="J33" s="5">
        <f t="shared" si="26"/>
        <v>1.2824074074074074</v>
      </c>
      <c r="K33" s="5">
        <f t="shared" si="27"/>
        <v>15.38077436179606</v>
      </c>
      <c r="L33" s="5">
        <f t="shared" si="28"/>
        <v>5.0756555393927005</v>
      </c>
      <c r="M33" s="5">
        <f t="shared" si="29"/>
        <v>10.30511882240336</v>
      </c>
      <c r="N33" s="4"/>
      <c r="O33" s="32">
        <f t="shared" si="30"/>
        <v>0</v>
      </c>
      <c r="P33" s="32">
        <f t="shared" si="31"/>
        <v>0</v>
      </c>
      <c r="Q33" s="32">
        <f t="shared" si="32"/>
        <v>0</v>
      </c>
      <c r="R33" s="32">
        <f t="shared" si="33"/>
        <v>0</v>
      </c>
      <c r="S33" s="32">
        <f t="shared" si="34"/>
        <v>0</v>
      </c>
      <c r="T33" s="32">
        <f t="shared" si="35"/>
        <v>0</v>
      </c>
    </row>
    <row r="34" spans="1:21" x14ac:dyDescent="0.2">
      <c r="A34" s="12" t="s">
        <v>28</v>
      </c>
      <c r="B34" s="42"/>
      <c r="C34" s="43"/>
      <c r="D34" s="51"/>
      <c r="E34" s="9">
        <v>17.016494052314037</v>
      </c>
      <c r="F34" s="9">
        <f t="shared" si="24"/>
        <v>17.016494052314037</v>
      </c>
      <c r="G34" s="14">
        <v>0.85075000000000001</v>
      </c>
      <c r="H34" s="5">
        <f t="shared" si="25"/>
        <v>1.786575</v>
      </c>
      <c r="I34" s="15">
        <v>0.12481481481481482</v>
      </c>
      <c r="J34" s="5">
        <f t="shared" si="26"/>
        <v>1.5601851851851853</v>
      </c>
      <c r="K34" s="5">
        <f t="shared" si="27"/>
        <v>13.669733867128853</v>
      </c>
      <c r="L34" s="5">
        <f t="shared" si="28"/>
        <v>4.5110121761525219</v>
      </c>
      <c r="M34" s="5">
        <f t="shared" si="29"/>
        <v>9.158721690976332</v>
      </c>
      <c r="N34" s="4"/>
      <c r="O34" s="32">
        <f t="shared" si="30"/>
        <v>0</v>
      </c>
      <c r="P34" s="32">
        <f t="shared" si="31"/>
        <v>0</v>
      </c>
      <c r="Q34" s="32">
        <f t="shared" si="32"/>
        <v>0</v>
      </c>
      <c r="R34" s="32">
        <f t="shared" si="33"/>
        <v>0</v>
      </c>
      <c r="S34" s="32">
        <f t="shared" si="34"/>
        <v>0</v>
      </c>
      <c r="T34" s="32">
        <f t="shared" si="35"/>
        <v>0</v>
      </c>
    </row>
    <row r="35" spans="1:21" x14ac:dyDescent="0.2">
      <c r="A35" s="12" t="s">
        <v>29</v>
      </c>
      <c r="B35" s="42"/>
      <c r="C35" s="43"/>
      <c r="D35" s="51"/>
      <c r="E35" s="9">
        <v>16.02081482756763</v>
      </c>
      <c r="F35" s="9">
        <f t="shared" si="24"/>
        <v>16.02081482756763</v>
      </c>
      <c r="G35" s="14">
        <v>0.85075000000000001</v>
      </c>
      <c r="H35" s="5">
        <f t="shared" si="25"/>
        <v>1.786575</v>
      </c>
      <c r="I35" s="15">
        <v>0.12481481481481482</v>
      </c>
      <c r="J35" s="5">
        <f t="shared" si="26"/>
        <v>1.5601851851851853</v>
      </c>
      <c r="K35" s="5">
        <f t="shared" si="27"/>
        <v>12.674054642382446</v>
      </c>
      <c r="L35" s="5">
        <f t="shared" si="28"/>
        <v>4.1824380319862069</v>
      </c>
      <c r="M35" s="5">
        <f t="shared" si="29"/>
        <v>8.4916166103962389</v>
      </c>
      <c r="N35" s="4"/>
      <c r="O35" s="32">
        <f t="shared" si="30"/>
        <v>0</v>
      </c>
      <c r="P35" s="32">
        <f t="shared" si="31"/>
        <v>0</v>
      </c>
      <c r="Q35" s="32">
        <f t="shared" si="32"/>
        <v>0</v>
      </c>
      <c r="R35" s="32">
        <f t="shared" si="33"/>
        <v>0</v>
      </c>
      <c r="S35" s="32">
        <f t="shared" si="34"/>
        <v>0</v>
      </c>
      <c r="T35" s="32">
        <f t="shared" si="35"/>
        <v>0</v>
      </c>
    </row>
    <row r="36" spans="1:21" x14ac:dyDescent="0.2">
      <c r="A36" s="12"/>
      <c r="B36" s="42"/>
      <c r="C36" s="43"/>
      <c r="D36" s="51"/>
      <c r="E36" s="9"/>
      <c r="F36" s="9"/>
      <c r="G36" s="12"/>
      <c r="H36" s="4"/>
      <c r="I36" s="12"/>
      <c r="J36" s="4"/>
      <c r="K36" s="4"/>
      <c r="L36" s="4"/>
      <c r="M36" s="4"/>
      <c r="N36" s="4"/>
      <c r="O36" s="4"/>
      <c r="P36" s="4"/>
      <c r="Q36" s="4"/>
      <c r="R36" s="4"/>
      <c r="S36" s="4"/>
      <c r="T36" s="4"/>
    </row>
    <row r="37" spans="1:21" x14ac:dyDescent="0.2">
      <c r="A37" s="13" t="s">
        <v>32</v>
      </c>
      <c r="B37" s="42"/>
      <c r="C37" s="43"/>
      <c r="D37" s="51"/>
      <c r="E37" s="9"/>
      <c r="F37" s="9"/>
      <c r="G37" s="12"/>
      <c r="H37" s="4"/>
      <c r="I37" s="12"/>
      <c r="J37" s="4"/>
      <c r="K37" s="4"/>
      <c r="L37" s="4"/>
      <c r="M37" s="4"/>
      <c r="N37" s="4"/>
      <c r="O37" s="4"/>
      <c r="P37" s="4"/>
      <c r="Q37" s="4"/>
      <c r="R37" s="4"/>
      <c r="S37" s="4"/>
      <c r="T37" s="4"/>
    </row>
    <row r="38" spans="1:21" x14ac:dyDescent="0.2">
      <c r="A38" s="12" t="s">
        <v>34</v>
      </c>
      <c r="B38" s="42">
        <v>1</v>
      </c>
      <c r="C38" s="43"/>
      <c r="D38" s="51"/>
      <c r="E38" s="9">
        <v>28.373436127095008</v>
      </c>
      <c r="F38" s="9">
        <f t="shared" ref="F38:F42" si="36">IF(D38&gt;0,D38,E38-(G38*B$2*1.05)+H38-I38*12.5+J38)</f>
        <v>28.373436127095005</v>
      </c>
      <c r="G38" s="14">
        <v>2.2497499999999997</v>
      </c>
      <c r="H38" s="5">
        <f t="shared" ref="H38:H42" si="37">G38*B$3*1.05</f>
        <v>4.724475</v>
      </c>
      <c r="I38" s="15">
        <v>0.18962962962962962</v>
      </c>
      <c r="J38" s="5">
        <f t="shared" ref="J38:J42" si="38">I38*B$4</f>
        <v>2.3703703703703702</v>
      </c>
      <c r="K38" s="5">
        <f t="shared" ref="K38:K42" si="39">F38-H38-J38</f>
        <v>21.278590756724636</v>
      </c>
      <c r="L38" s="5">
        <f t="shared" ref="L38:L42" si="40">K38*B$12</f>
        <v>7.0219349497191299</v>
      </c>
      <c r="M38" s="5">
        <f t="shared" ref="M38:M42" si="41">K38-L38</f>
        <v>14.256655807005506</v>
      </c>
      <c r="N38" s="4"/>
      <c r="O38" s="32">
        <f t="shared" ref="O38:O41" si="42">IF(O$14="Increase",IF(C38="y",0,IF($B38&gt;0,H38*$B38*(1+O$15),0)),IF(C38="y",0,IF($B38&gt;0,H38*$B38*(1-O$15),0)))</f>
        <v>5.6693699999999998</v>
      </c>
      <c r="P38" s="32">
        <f t="shared" ref="P38:P41" si="43">IF(P$14="Increase",IF(C38="y",0,IF($B38&gt;0,(I38*B$4*(1-B$7))*$B38*(1+P$15),0)),IF(C38="y",0,IF($B38&gt;0,(I38*B$4*(1-B$7))*$B38*(1-P$15),0)))</f>
        <v>2.8444444444444441</v>
      </c>
      <c r="Q38" s="32">
        <f t="shared" ref="Q38:Q41" si="44">IF(Q$14="Increase",IF(C38="y",0,IF($B38&gt;0,(I38*B$6*(B$7))*$B38*(1+Q$15),0)),IF(C38="y",0,IF($B38&gt;0,(I38*B$6*(B$7))*$B38*(1-Q$15),0)))</f>
        <v>0</v>
      </c>
      <c r="R38" s="32">
        <f t="shared" ref="R38:R41" si="45">IF(R$14="Increase",IF(C38="y",0,IF($B38&gt;0,L38*$B38*(1+R$15),0)),IF(C38="y",0,IF($B38&gt;0,L38*$B38*(1-R$15),0)))</f>
        <v>8.4263219396629552</v>
      </c>
      <c r="S38" s="32">
        <f t="shared" ref="S38:S41" si="46">IF(S$14="Increase",IF(C38="y",0,IF($B38&gt;0,M38*$B38*(1+S$15),0)),IF(C38="y",0,IF($B38&gt;0,M38*$B38*(1-S$15),0)))</f>
        <v>17.107986968406607</v>
      </c>
      <c r="T38" s="32">
        <f t="shared" ref="T38:T41" si="47">IF(T$14="Increase",IF(C38="y",F38*B38*(1+T$15),0),IF(C38="y",F38*B38*(1-T$15),0))</f>
        <v>0</v>
      </c>
    </row>
    <row r="39" spans="1:21" x14ac:dyDescent="0.2">
      <c r="A39" s="12" t="s">
        <v>35</v>
      </c>
      <c r="B39" s="42"/>
      <c r="C39" s="43"/>
      <c r="D39" s="51"/>
      <c r="E39" s="9">
        <v>28.146667608184323</v>
      </c>
      <c r="F39" s="9">
        <f t="shared" si="36"/>
        <v>28.146667608184323</v>
      </c>
      <c r="G39" s="14">
        <v>1.8815</v>
      </c>
      <c r="H39" s="5">
        <f t="shared" si="37"/>
        <v>3.9511500000000002</v>
      </c>
      <c r="I39" s="15">
        <v>0.15666666666666668</v>
      </c>
      <c r="J39" s="5">
        <f t="shared" si="38"/>
        <v>1.9583333333333335</v>
      </c>
      <c r="K39" s="5">
        <f t="shared" si="39"/>
        <v>22.237184274850993</v>
      </c>
      <c r="L39" s="5">
        <f t="shared" si="40"/>
        <v>7.3382708107008279</v>
      </c>
      <c r="M39" s="5">
        <f t="shared" si="41"/>
        <v>14.898913464150166</v>
      </c>
      <c r="N39" s="4"/>
      <c r="O39" s="32">
        <f t="shared" si="42"/>
        <v>0</v>
      </c>
      <c r="P39" s="32">
        <f t="shared" si="43"/>
        <v>0</v>
      </c>
      <c r="Q39" s="32">
        <f t="shared" si="44"/>
        <v>0</v>
      </c>
      <c r="R39" s="32">
        <f t="shared" si="45"/>
        <v>0</v>
      </c>
      <c r="S39" s="32">
        <f t="shared" si="46"/>
        <v>0</v>
      </c>
      <c r="T39" s="32">
        <f t="shared" si="47"/>
        <v>0</v>
      </c>
    </row>
    <row r="40" spans="1:21" x14ac:dyDescent="0.2">
      <c r="A40" s="12" t="s">
        <v>36</v>
      </c>
      <c r="B40" s="42"/>
      <c r="C40" s="43"/>
      <c r="D40" s="51"/>
      <c r="E40" s="9">
        <v>27.958020848766882</v>
      </c>
      <c r="F40" s="9">
        <f t="shared" si="36"/>
        <v>27.958020848766882</v>
      </c>
      <c r="G40" s="14">
        <v>1.4732500000000002</v>
      </c>
      <c r="H40" s="5">
        <f t="shared" si="37"/>
        <v>3.0938250000000003</v>
      </c>
      <c r="I40" s="15">
        <v>0.1237037037037037</v>
      </c>
      <c r="J40" s="5">
        <f t="shared" si="38"/>
        <v>1.5462962962962963</v>
      </c>
      <c r="K40" s="5">
        <f t="shared" si="39"/>
        <v>23.317899552470585</v>
      </c>
      <c r="L40" s="5">
        <f t="shared" si="40"/>
        <v>7.6949068523152935</v>
      </c>
      <c r="M40" s="5">
        <f t="shared" si="41"/>
        <v>15.622992700155292</v>
      </c>
      <c r="N40" s="4"/>
      <c r="O40" s="32">
        <f t="shared" si="42"/>
        <v>0</v>
      </c>
      <c r="P40" s="32">
        <f t="shared" si="43"/>
        <v>0</v>
      </c>
      <c r="Q40" s="32">
        <f t="shared" si="44"/>
        <v>0</v>
      </c>
      <c r="R40" s="32">
        <f t="shared" si="45"/>
        <v>0</v>
      </c>
      <c r="S40" s="32">
        <f t="shared" si="46"/>
        <v>0</v>
      </c>
      <c r="T40" s="32">
        <f t="shared" si="47"/>
        <v>0</v>
      </c>
    </row>
    <row r="41" spans="1:21" x14ac:dyDescent="0.2">
      <c r="A41" s="7" t="s">
        <v>55</v>
      </c>
      <c r="B41" s="45">
        <v>1</v>
      </c>
      <c r="C41" s="46"/>
      <c r="D41" s="52"/>
      <c r="E41" s="6">
        <v>6.2229712866764233</v>
      </c>
      <c r="F41" s="6">
        <f t="shared" si="36"/>
        <v>6.2229712866764233</v>
      </c>
      <c r="G41" s="19">
        <v>0.16</v>
      </c>
      <c r="H41" s="8">
        <f t="shared" si="37"/>
        <v>0.33600000000000002</v>
      </c>
      <c r="I41" s="20">
        <v>0.1</v>
      </c>
      <c r="J41" s="8">
        <f t="shared" si="38"/>
        <v>1.25</v>
      </c>
      <c r="K41" s="8">
        <f t="shared" si="39"/>
        <v>4.636971286676423</v>
      </c>
      <c r="L41" s="8">
        <f t="shared" si="40"/>
        <v>1.5302005246032198</v>
      </c>
      <c r="M41" s="8">
        <f t="shared" si="41"/>
        <v>3.1067707620732032</v>
      </c>
      <c r="N41" s="7"/>
      <c r="O41" s="8">
        <f t="shared" si="42"/>
        <v>0.4032</v>
      </c>
      <c r="P41" s="8">
        <f t="shared" si="43"/>
        <v>1.5</v>
      </c>
      <c r="Q41" s="8">
        <f t="shared" si="44"/>
        <v>0</v>
      </c>
      <c r="R41" s="8">
        <f t="shared" si="45"/>
        <v>1.8362406295238636</v>
      </c>
      <c r="S41" s="8">
        <f t="shared" si="46"/>
        <v>3.7281249144878439</v>
      </c>
      <c r="T41" s="8">
        <f t="shared" si="47"/>
        <v>0</v>
      </c>
      <c r="U41" s="2"/>
    </row>
    <row r="42" spans="1:21" x14ac:dyDescent="0.2">
      <c r="A42" s="240" t="s">
        <v>113</v>
      </c>
      <c r="B42" s="169"/>
      <c r="C42" s="46"/>
      <c r="D42" s="52"/>
      <c r="E42" s="6">
        <f>((0.0631009 + 0.0011459*B8 - 0.0000068*(B8^2))*1.052 + B8*2*B2*(1.05)/(6*950) + ((B8*2/45) + 30/60)*B4/950)*Sorghum!D5</f>
        <v>15.80018398091228</v>
      </c>
      <c r="F42" s="6">
        <f t="shared" si="36"/>
        <v>15.80018398091228</v>
      </c>
      <c r="G42" s="19">
        <f>((Sorghum!D5)/950)*'Mach(Sorg)'!B8*2/6</f>
        <v>1.0526315789473684</v>
      </c>
      <c r="H42" s="8">
        <f t="shared" si="37"/>
        <v>2.2105263157894735</v>
      </c>
      <c r="I42" s="20">
        <f>((30/60)+(B8*2/45))*Sorghum!D5/950</f>
        <v>0.20350877192982458</v>
      </c>
      <c r="J42" s="8">
        <f t="shared" si="38"/>
        <v>2.5438596491228074</v>
      </c>
      <c r="K42" s="8">
        <f t="shared" si="39"/>
        <v>11.045798015999999</v>
      </c>
      <c r="L42" s="8">
        <f t="shared" si="40"/>
        <v>3.64511334528</v>
      </c>
      <c r="M42" s="8">
        <f t="shared" si="41"/>
        <v>7.4006846707199987</v>
      </c>
      <c r="N42" s="7"/>
      <c r="O42" s="8">
        <f>IF(O$14="Increase",IF(C42="y",0,IF($B8&gt;0,H42*(1+O$15),0)),IF(C42="y",0,IF($B8&gt;0,H42*(1-O$15),0)))</f>
        <v>2.6526315789473682</v>
      </c>
      <c r="P42" s="8">
        <f>IF(P$14="Increase",IF(C42="y",0,IF($B8&gt;0,(I42*B$4*(1-B$7)*(1+P$15)),0)),IF(C42="y",0,IF($B8&gt;0,(I42*B$4*(1-B$7)*(1-P$15)),0)))</f>
        <v>3.0526315789473686</v>
      </c>
      <c r="Q42" s="8">
        <f>IF(Q$14="Increase",IF(C42="y",0,IF($B8&gt;0,(I42*B$6*(B$7)*(1+Q$15)),0)),IF(C42="y",0,IF($B8&gt;0,(I42*B$6*(B$7)*(1-Q$15)),0)))</f>
        <v>0</v>
      </c>
      <c r="R42" s="8">
        <f>IF(R$14="Increase",IF(C42="y",0,IF($B8&gt;0,L42*(1+R$15),0)),IF(C42="y",0,IF($B8&gt;0,L42*(1-R$15),0)))</f>
        <v>4.374136014336</v>
      </c>
      <c r="S42" s="8">
        <f>IF(S$14="Increase",IF(C42="y",0,IF($B8&gt;0,M42*(1+S$15),0)),IF(C42="y",0,IF($B8&gt;0,M42*(1-S$15),0)))</f>
        <v>8.8808216048639981</v>
      </c>
      <c r="T42" s="8">
        <f>IF(T$14="Increase",IF(C42="y",F42*(1+T$15),0),IF(C42="y",F42*(1-T$15),0))</f>
        <v>0</v>
      </c>
      <c r="U42" s="2">
        <f>SUM(O42:T42)</f>
        <v>18.960220777094733</v>
      </c>
    </row>
    <row r="43" spans="1:21" x14ac:dyDescent="0.2">
      <c r="A43" s="12"/>
      <c r="B43" s="42"/>
      <c r="C43" s="43"/>
      <c r="D43" s="51"/>
      <c r="E43" s="9"/>
      <c r="F43" s="9"/>
      <c r="G43" s="12"/>
      <c r="H43" s="4"/>
      <c r="I43" s="12"/>
      <c r="J43" s="4"/>
      <c r="K43" s="4"/>
      <c r="L43" s="4"/>
      <c r="M43" s="4"/>
      <c r="N43" s="4"/>
      <c r="O43" s="4"/>
      <c r="P43" s="4"/>
      <c r="Q43" s="4"/>
      <c r="R43" s="4"/>
      <c r="S43" s="4"/>
      <c r="T43" s="4"/>
    </row>
    <row r="44" spans="1:21" x14ac:dyDescent="0.2">
      <c r="A44" s="13" t="s">
        <v>40</v>
      </c>
      <c r="B44" s="42"/>
      <c r="C44" s="43"/>
      <c r="D44" s="51"/>
      <c r="E44" s="9"/>
      <c r="F44" s="9"/>
      <c r="G44" s="12"/>
      <c r="H44" s="4"/>
      <c r="I44" s="12"/>
      <c r="J44" s="4"/>
      <c r="K44" s="4"/>
      <c r="L44" s="4"/>
      <c r="M44" s="4"/>
      <c r="N44" s="4"/>
      <c r="O44" s="4"/>
      <c r="P44" s="4"/>
      <c r="Q44" s="4"/>
      <c r="R44" s="4"/>
      <c r="S44" s="4"/>
      <c r="T44" s="4"/>
    </row>
    <row r="45" spans="1:21" x14ac:dyDescent="0.2">
      <c r="A45" s="12" t="s">
        <v>41</v>
      </c>
      <c r="B45" s="42">
        <v>1</v>
      </c>
      <c r="C45" s="43"/>
      <c r="D45" s="51"/>
      <c r="E45" s="9">
        <v>5.3591902733682657</v>
      </c>
      <c r="F45" s="9">
        <f t="shared" ref="F45:F46" si="48">IF(D45&gt;0,D45,E45-(G45*B$2*1.05)+H45-I45*12.5+J45)</f>
        <v>5.3591902733682657</v>
      </c>
      <c r="G45" s="14">
        <v>0.3248383916323731</v>
      </c>
      <c r="H45" s="5">
        <f t="shared" ref="H45:H46" si="49">G45*B$3*1.05</f>
        <v>0.68216062242798359</v>
      </c>
      <c r="I45" s="15">
        <v>3.9135775526950654E-2</v>
      </c>
      <c r="J45" s="5">
        <f t="shared" ref="J45:J46" si="50">I45*B$4</f>
        <v>0.48919719408688317</v>
      </c>
      <c r="K45" s="5">
        <f t="shared" ref="K45:K46" si="51">F45-H45-J45</f>
        <v>4.1878324568533989</v>
      </c>
      <c r="L45" s="5">
        <f t="shared" ref="L45:L46" si="52">K45*B$12</f>
        <v>1.3819847107616217</v>
      </c>
      <c r="M45" s="5">
        <f t="shared" ref="M45:M46" si="53">K45-L45</f>
        <v>2.8058477460917772</v>
      </c>
      <c r="N45" s="4"/>
      <c r="O45" s="32">
        <f t="shared" ref="O45:O46" si="54">IF(O$14="Increase",IF(C45="y",0,IF($B45&gt;0,H45*$B45*(1+O$15),0)),IF(C45="y",0,IF($B45&gt;0,H45*$B45*(1-O$15),0)))</f>
        <v>0.8185927469135803</v>
      </c>
      <c r="P45" s="32">
        <f t="shared" ref="P45:P46" si="55">IF(P$14="Increase",IF(C45="y",0,IF($B45&gt;0,(I45*B$4*(1-B$7))*$B45*(1+P$15),0)),IF(C45="y",0,IF($B45&gt;0,(I45*B$4*(1-B$7))*$B45*(1-P$15),0)))</f>
        <v>0.58703663290425978</v>
      </c>
      <c r="Q45" s="32">
        <f t="shared" ref="Q45:Q46" si="56">IF(Q$14="Increase",IF(C45="y",0,IF($B45&gt;0,(I45*B$6*(B$7))*$B45*(1+Q$15),0)),IF(C45="y",0,IF($B45&gt;0,(I45*B$6*(B$7))*$B45*(1-Q$15),0)))</f>
        <v>0</v>
      </c>
      <c r="R45" s="32">
        <f t="shared" ref="R45:R46" si="57">IF(R$14="Increase",IF(C45="y",0,IF($B45&gt;0,L45*$B45*(1+R$15),0)),IF(C45="y",0,IF($B45&gt;0,L45*$B45*(1-R$15),0)))</f>
        <v>1.6583816529139459</v>
      </c>
      <c r="S45" s="32">
        <f t="shared" ref="S45:S46" si="58">IF(S$14="Increase",IF(C45="y",0,IF($B45&gt;0,M45*$B45*(1+S$15),0)),IF(C45="y",0,IF($B45&gt;0,M45*$B45*(1-S$15),0)))</f>
        <v>3.3670172953101325</v>
      </c>
      <c r="T45" s="32">
        <f t="shared" ref="T45:T46" si="59">IF(T$14="Increase",IF(C45="y",F45*B45*(1+T$15),0),IF(C45="y",F45*B45*(1-T$15),0))</f>
        <v>0</v>
      </c>
    </row>
    <row r="46" spans="1:21" x14ac:dyDescent="0.2">
      <c r="A46" s="12" t="s">
        <v>45</v>
      </c>
      <c r="B46" s="42">
        <v>1</v>
      </c>
      <c r="C46" s="43"/>
      <c r="D46" s="51"/>
      <c r="E46" s="9">
        <v>11.613360174500752</v>
      </c>
      <c r="F46" s="9">
        <f t="shared" si="48"/>
        <v>11.613360174500752</v>
      </c>
      <c r="G46" s="14">
        <v>0.69225000000000003</v>
      </c>
      <c r="H46" s="5">
        <f t="shared" si="49"/>
        <v>1.4537250000000002</v>
      </c>
      <c r="I46" s="15">
        <v>8.3400673400673392E-2</v>
      </c>
      <c r="J46" s="5">
        <f t="shared" si="50"/>
        <v>1.0425084175084174</v>
      </c>
      <c r="K46" s="5">
        <f t="shared" si="51"/>
        <v>9.1171267569923344</v>
      </c>
      <c r="L46" s="5">
        <f t="shared" si="52"/>
        <v>3.0086518298074707</v>
      </c>
      <c r="M46" s="5">
        <f t="shared" si="53"/>
        <v>6.1084749271848633</v>
      </c>
      <c r="N46" s="4"/>
      <c r="O46" s="32">
        <f t="shared" si="54"/>
        <v>1.7444700000000002</v>
      </c>
      <c r="P46" s="32">
        <f t="shared" si="55"/>
        <v>1.2510101010101009</v>
      </c>
      <c r="Q46" s="32">
        <f t="shared" si="56"/>
        <v>0</v>
      </c>
      <c r="R46" s="32">
        <f t="shared" si="57"/>
        <v>3.6103821957689646</v>
      </c>
      <c r="S46" s="32">
        <f t="shared" si="58"/>
        <v>7.3301699126218356</v>
      </c>
      <c r="T46" s="32">
        <f t="shared" si="59"/>
        <v>0</v>
      </c>
    </row>
    <row r="47" spans="1:21" x14ac:dyDescent="0.2">
      <c r="A47" s="12"/>
      <c r="B47" s="42"/>
      <c r="C47" s="43"/>
      <c r="D47" s="51"/>
      <c r="E47" s="9"/>
      <c r="F47" s="9"/>
      <c r="G47" s="12"/>
      <c r="H47" s="4"/>
      <c r="I47" s="12"/>
      <c r="J47" s="4"/>
      <c r="K47" s="4"/>
      <c r="L47" s="4"/>
      <c r="M47" s="4"/>
      <c r="N47" s="4"/>
      <c r="O47" s="4"/>
      <c r="P47" s="4"/>
      <c r="Q47" s="4"/>
      <c r="R47" s="4"/>
      <c r="S47" s="4"/>
      <c r="T47" s="4"/>
    </row>
    <row r="48" spans="1:21" x14ac:dyDescent="0.2">
      <c r="A48" s="13" t="s">
        <v>48</v>
      </c>
      <c r="B48" s="42"/>
      <c r="C48" s="43"/>
      <c r="D48" s="51"/>
      <c r="E48" s="9"/>
      <c r="F48" s="9"/>
      <c r="G48" s="12"/>
      <c r="H48" s="4"/>
      <c r="I48" s="12"/>
      <c r="J48" s="4"/>
      <c r="K48" s="4"/>
      <c r="L48" s="4"/>
      <c r="M48" s="4"/>
      <c r="N48" s="4"/>
      <c r="O48" s="4"/>
      <c r="P48" s="4"/>
      <c r="Q48" s="4"/>
      <c r="R48" s="4"/>
      <c r="S48" s="4"/>
      <c r="T48" s="4"/>
    </row>
    <row r="49" spans="1:20" x14ac:dyDescent="0.2">
      <c r="A49" s="12" t="s">
        <v>49</v>
      </c>
      <c r="B49" s="42">
        <v>2</v>
      </c>
      <c r="C49" s="43"/>
      <c r="D49" s="51"/>
      <c r="E49" s="9">
        <v>6.9142172800171986</v>
      </c>
      <c r="F49" s="9">
        <f>IF(D49&gt;0,D49,E49-(G49*B$2*1.05)+H49-I49*12.5+J49)</f>
        <v>6.9142172800171986</v>
      </c>
      <c r="G49" s="14">
        <v>0.11825000000000001</v>
      </c>
      <c r="H49" s="5">
        <f>G49*B$3*1.05</f>
        <v>0.24832500000000002</v>
      </c>
      <c r="I49" s="15">
        <v>0.03</v>
      </c>
      <c r="J49" s="5">
        <f>I49*B$4</f>
        <v>0.375</v>
      </c>
      <c r="K49" s="5">
        <f>F49-H49-J49</f>
        <v>6.2908922800171982</v>
      </c>
      <c r="L49" s="5">
        <f>K49*B$12</f>
        <v>2.0759944524056757</v>
      </c>
      <c r="M49" s="5">
        <f>K49-L49</f>
        <v>4.214897827611523</v>
      </c>
      <c r="N49" s="4"/>
      <c r="O49" s="32">
        <f>IF(O$14="Increase",IF(C49="y",0,IF($B49&gt;0,H49*$B49*(1+O$15),0)),IF(C49="y",0,IF($B49&gt;0,H49*$B49*(1-O$15),0)))</f>
        <v>0.59598000000000007</v>
      </c>
      <c r="P49" s="32">
        <f>IF(P$14="Increase",IF(C49="y",0,IF($B49&gt;0,(I49*B$4*(1-B$7))*$B49*(1+P$15),0)),IF(C49="y",0,IF($B49&gt;0,(I49*B$4*(1-B$7))*$B49*(1-P$15),0)))</f>
        <v>0.89999999999999991</v>
      </c>
      <c r="Q49" s="32">
        <f>IF(Q$14="Increase",IF(C49="y",0,IF($B49&gt;0,(I49*B$6*(B$7))*$B49*(1+Q$15),0)),IF(C49="y",0,IF($B49&gt;0,(I49*B$6*(B$7))*$B49*(1-Q$15),0)))</f>
        <v>0</v>
      </c>
      <c r="R49" s="32">
        <f>IF(R$14="Increase",IF(C49="y",0,IF($B49&gt;0,L49*$B49*(1+R$15),0)),IF(C49="y",0,IF($B49&gt;0,L49*$B49*(1-R$15),0)))</f>
        <v>4.9823866857736219</v>
      </c>
      <c r="S49" s="32">
        <f>IF(S$14="Increase",IF(C49="y",0,IF($B49&gt;0,M49*$B49*(1+S$15),0)),IF(C49="y",0,IF($B49&gt;0,M49*$B49*(1-S$15),0)))</f>
        <v>10.115754786267654</v>
      </c>
      <c r="T49" s="32">
        <f>IF(T$14="Increase",IF(C49="y",F49*B49*(1+T$15),0),IF(C49="y",F49*B49*(1-T$15),0))</f>
        <v>0</v>
      </c>
    </row>
    <row r="50" spans="1:20" x14ac:dyDescent="0.2">
      <c r="A50" s="12" t="s">
        <v>50</v>
      </c>
      <c r="B50" s="42"/>
      <c r="C50" s="43"/>
      <c r="D50" s="51"/>
      <c r="E50" s="9">
        <v>6.7436268685387066</v>
      </c>
      <c r="F50" s="9">
        <f>IF(D50&gt;0,D50,E50-(G50*B$2*1.05)+H50-I50*12.5+J50)</f>
        <v>6.7436268685387066</v>
      </c>
      <c r="G50" s="14">
        <v>0.16750000000000001</v>
      </c>
      <c r="H50" s="5">
        <f>G50*B$3*1.05</f>
        <v>0.35175000000000006</v>
      </c>
      <c r="I50" s="15">
        <v>5.0370370370370371E-2</v>
      </c>
      <c r="J50" s="5">
        <f>I50*B$4</f>
        <v>0.62962962962962965</v>
      </c>
      <c r="K50" s="5">
        <f>F50-H50-J50</f>
        <v>5.7622472389090769</v>
      </c>
      <c r="L50" s="5">
        <f>K50*B$12</f>
        <v>1.9015415888399954</v>
      </c>
      <c r="M50" s="5">
        <f>K50-L50</f>
        <v>3.8607056500690815</v>
      </c>
      <c r="N50" s="4"/>
      <c r="O50" s="32">
        <f>IF(O$14="Increase",IF(C50="y",0,IF($B50&gt;0,H50*$B50*(1+O$15),0)),IF(C50="y",0,IF($B50&gt;0,H50*$B50*(1-O$15),0)))</f>
        <v>0</v>
      </c>
      <c r="P50" s="32">
        <f>IF(P$14="Increase",IF(C50="y",0,IF($B50&gt;0,(I50*B$4*(1-B$7))*$B50*(1+P$15),0)),IF(C50="y",0,IF($B50&gt;0,(I50*B$4*(1-B$7))*$B50*(1-P$15),0)))</f>
        <v>0</v>
      </c>
      <c r="Q50" s="32">
        <f>IF(Q$14="Increase",IF(C50="y",0,IF($B50&gt;0,(I50*B$6*(B$7))*$B50*(1+Q$15),0)),IF(C50="y",0,IF($B50&gt;0,(I50*B$6*(B$7))*$B50*(1-Q$15),0)))</f>
        <v>0</v>
      </c>
      <c r="R50" s="32">
        <f>IF(R$14="Increase",IF(C50="y",0,IF($B50&gt;0,L50*$B50*(1+R$15),0)),IF(C50="y",0,IF($B50&gt;0,L50*$B50*(1-R$15),0)))</f>
        <v>0</v>
      </c>
      <c r="S50" s="32">
        <f>IF(S$14="Increase",IF(C50="y",0,IF($B50&gt;0,M50*$B50*(1+S$15),0)),IF(C50="y",0,IF($B50&gt;0,M50*$B50*(1-S$15),0)))</f>
        <v>0</v>
      </c>
      <c r="T50" s="32">
        <f>IF(T$14="Increase",IF(C50="y",F50*B50*(1+T$15),0),IF(C50="y",F50*B50*(1-T$15),0))</f>
        <v>0</v>
      </c>
    </row>
    <row r="51" spans="1:20" x14ac:dyDescent="0.2">
      <c r="A51" s="12" t="s">
        <v>51</v>
      </c>
      <c r="B51" s="42"/>
      <c r="C51" s="43"/>
      <c r="D51" s="51"/>
      <c r="E51" s="9">
        <v>8.7841297368676354</v>
      </c>
      <c r="F51" s="9">
        <f>IF(D51&gt;0,D51,E51-(G51*B$2*1.05)+H51-I51*12.5+J51)</f>
        <v>8.7841297368676354</v>
      </c>
      <c r="G51" s="14">
        <v>0.11</v>
      </c>
      <c r="H51" s="5">
        <f>G51*B$3*1.05</f>
        <v>0.23100000000000001</v>
      </c>
      <c r="I51" s="15">
        <v>1.4814814814814815E-2</v>
      </c>
      <c r="J51" s="5">
        <f>I51*B$4</f>
        <v>0.1851851851851852</v>
      </c>
      <c r="K51" s="5">
        <f>F51-H51-J51</f>
        <v>8.3679445516824504</v>
      </c>
      <c r="L51" s="5">
        <f>K51*B$12</f>
        <v>2.761421702055209</v>
      </c>
      <c r="M51" s="5">
        <f>K51-L51</f>
        <v>5.6065228496272415</v>
      </c>
      <c r="N51" s="4"/>
      <c r="O51" s="32">
        <f>IF(O$14="Increase",IF(C51="y",0,IF($B51&gt;0,H51*$B51*(1+O$15),0)),IF(C51="y",0,IF($B51&gt;0,H51*$B51*(1-O$15),0)))</f>
        <v>0</v>
      </c>
      <c r="P51" s="32">
        <f>IF(P$14="Increase",IF(C51="y",0,IF($B51&gt;0,(I51*B$4*(1-B$7))*$B51*(1+P$15),0)),IF(C51="y",0,IF($B51&gt;0,(I51*B$4*(1-B$7))*$B51*(1-P$15),0)))</f>
        <v>0</v>
      </c>
      <c r="Q51" s="32">
        <f>IF(Q$14="Increase",IF(C51="y",0,IF($B51&gt;0,(I51*B$6*(B$7))*$B51*(1+Q$15),0)),IF(C51="y",0,IF($B51&gt;0,(I51*B$6*(B$7))*$B51*(1-Q$15),0)))</f>
        <v>0</v>
      </c>
      <c r="R51" s="32">
        <f>IF(R$14="Increase",IF(C51="y",0,IF($B51&gt;0,L51*$B51*(1+R$15),0)),IF(C51="y",0,IF($B51&gt;0,L51*$B51*(1-R$15),0)))</f>
        <v>0</v>
      </c>
      <c r="S51" s="32">
        <f>IF(S$14="Increase",IF(C51="y",0,IF($B51&gt;0,M51*$B51*(1+S$15),0)),IF(C51="y",0,IF($B51&gt;0,M51*$B51*(1-S$15),0)))</f>
        <v>0</v>
      </c>
      <c r="T51" s="32">
        <f>IF(T$14="Increase",IF(C51="y",F51*B51*(1+T$15),0),IF(C51="y",F51*B51*(1-T$15),0))</f>
        <v>0</v>
      </c>
    </row>
    <row r="52" spans="1:20" x14ac:dyDescent="0.2">
      <c r="A52" s="12"/>
      <c r="B52" s="42"/>
      <c r="C52" s="43"/>
      <c r="D52" s="51"/>
      <c r="E52" s="9"/>
      <c r="F52" s="9"/>
      <c r="G52" s="12"/>
      <c r="H52" s="4"/>
      <c r="I52" s="12"/>
      <c r="J52" s="4"/>
      <c r="K52" s="4"/>
      <c r="L52" s="4"/>
      <c r="M52" s="4"/>
      <c r="N52" s="4"/>
      <c r="O52" s="4"/>
      <c r="P52" s="4"/>
      <c r="Q52" s="4"/>
      <c r="R52" s="4"/>
      <c r="S52" s="4"/>
      <c r="T52" s="4"/>
    </row>
    <row r="53" spans="1:20" x14ac:dyDescent="0.2">
      <c r="A53" s="13" t="s">
        <v>52</v>
      </c>
      <c r="B53" s="42"/>
      <c r="C53" s="43"/>
      <c r="D53" s="51"/>
      <c r="E53" s="9"/>
      <c r="F53" s="9"/>
      <c r="G53" s="12"/>
      <c r="H53" s="4"/>
      <c r="I53" s="12"/>
      <c r="J53" s="4"/>
      <c r="K53" s="4"/>
      <c r="L53" s="4"/>
      <c r="M53" s="4"/>
      <c r="N53" s="4"/>
      <c r="O53" s="4"/>
      <c r="P53" s="4"/>
      <c r="Q53" s="4"/>
      <c r="R53" s="4"/>
      <c r="S53" s="4"/>
      <c r="T53" s="4"/>
    </row>
    <row r="54" spans="1:20" x14ac:dyDescent="0.2">
      <c r="A54" s="12" t="s">
        <v>53</v>
      </c>
      <c r="B54" s="42"/>
      <c r="C54" s="43"/>
      <c r="D54" s="51"/>
      <c r="E54" s="9">
        <v>8.6475214891136076</v>
      </c>
      <c r="F54" s="9">
        <f>IF(D54&gt;0,D54,E54-(G54*B$2*1.05)+H54-I54*12.5+J54)</f>
        <v>8.6475214891136076</v>
      </c>
      <c r="G54" s="14">
        <v>0.26850000000000002</v>
      </c>
      <c r="H54" s="5">
        <f>G54*B$3*1.05</f>
        <v>0.56385000000000007</v>
      </c>
      <c r="I54" s="15">
        <v>3.8518518518518521E-2</v>
      </c>
      <c r="J54" s="5">
        <f>I54*B$4</f>
        <v>0.48148148148148151</v>
      </c>
      <c r="K54" s="5">
        <f>F54-H54-J54</f>
        <v>7.6021900076321254</v>
      </c>
      <c r="L54" s="5">
        <f>K54*B$12</f>
        <v>2.5087227025186016</v>
      </c>
      <c r="M54" s="5">
        <f>K54-L54</f>
        <v>5.0934673051135242</v>
      </c>
      <c r="N54" s="4"/>
      <c r="O54" s="32">
        <f>IF(O$14="Increase",IF(C54="y",0,IF($B54&gt;0,H54*$B54*(1+O$15),0)),IF(C54="y",0,IF($B54&gt;0,H54*$B54*(1-O$15),0)))</f>
        <v>0</v>
      </c>
      <c r="P54" s="32">
        <f>IF(P$14="Increase",IF(C54="y",0,IF($B54&gt;0,(I54*B$4*(1-B$7))*$B54*(1+P$15),0)),IF(C54="y",0,IF($B54&gt;0,(I54*B$4*(1-B$7))*$B54*(1-P$15),0)))</f>
        <v>0</v>
      </c>
      <c r="Q54" s="32">
        <f>IF(Q$14="Increase",IF(C54="y",0,IF($B54&gt;0,(I54*B$6*(B$7))*$B54*(1+Q$15),0)),IF(C54="y",0,IF($B54&gt;0,(I54*B$6*(B$7))*$B54*(1-Q$15),0)))</f>
        <v>0</v>
      </c>
      <c r="R54" s="32">
        <f>IF(R$14="Increase",IF(C54="y",0,IF($B54&gt;0,L54*$B54*(1+R$15),0)),IF(C54="y",0,IF($B54&gt;0,L54*$B54*(1-R$15),0)))</f>
        <v>0</v>
      </c>
      <c r="S54" s="32">
        <f>IF(S$14="Increase",IF(C54="y",0,IF($B54&gt;0,M54*$B54*(1+S$15),0)),IF(C54="y",0,IF($B54&gt;0,M54*$B54*(1-S$15),0)))</f>
        <v>0</v>
      </c>
      <c r="T54" s="32">
        <f>IF(T$14="Increase",IF(C54="y",F54*B54*(1+T$15),0),IF(C54="y",F54*B54*(1-T$15),0))</f>
        <v>0</v>
      </c>
    </row>
    <row r="55" spans="1:20" x14ac:dyDescent="0.2">
      <c r="A55" s="12" t="s">
        <v>54</v>
      </c>
      <c r="B55" s="42"/>
      <c r="C55" s="43"/>
      <c r="D55" s="51"/>
      <c r="E55" s="9">
        <v>13.113274525615344</v>
      </c>
      <c r="F55" s="9">
        <f>IF(D55&gt;0,D55,E55-(G55*B$2*1.05)+H55-I55*12.5+J55)</f>
        <v>13.113274525615344</v>
      </c>
      <c r="G55" s="14">
        <v>0.52800000000000002</v>
      </c>
      <c r="H55" s="5">
        <f>G55*B$3*1.05</f>
        <v>1.1088</v>
      </c>
      <c r="I55" s="15">
        <v>8.4831649831649841E-2</v>
      </c>
      <c r="J55" s="5">
        <f>I55*B$4</f>
        <v>1.0603956228956231</v>
      </c>
      <c r="K55" s="5">
        <f>F55-H55-J55</f>
        <v>10.944078902719721</v>
      </c>
      <c r="L55" s="5">
        <f>K55*B$12</f>
        <v>3.6115460378975079</v>
      </c>
      <c r="M55" s="5">
        <f>K55-L55</f>
        <v>7.3325328648222126</v>
      </c>
      <c r="N55" s="4"/>
      <c r="O55" s="32">
        <f>IF(O$14="Increase",IF(C55="y",0,IF($B55&gt;0,H55*$B55*(1+O$15),0)),IF(C55="y",0,IF($B55&gt;0,H55*$B55*(1-O$15),0)))</f>
        <v>0</v>
      </c>
      <c r="P55" s="32">
        <f>IF(P$14="Increase",IF(C55="y",0,IF($B55&gt;0,(I55*B$4*(1-B$7))*$B55*(1+P$15),0)),IF(C55="y",0,IF($B55&gt;0,(I55*B$4*(1-B$7))*$B55*(1-P$15),0)))</f>
        <v>0</v>
      </c>
      <c r="Q55" s="32">
        <f>IF(Q$14="Increase",IF(C55="y",0,IF($B55&gt;0,(I55*B$6*(B$7))*$B55*(1+Q$15),0)),IF(C55="y",0,IF($B55&gt;0,(I55*B$6*(B$7))*$B55*(1-Q$15),0)))</f>
        <v>0</v>
      </c>
      <c r="R55" s="32">
        <f>IF(R$14="Increase",IF(C55="y",0,IF($B55&gt;0,L55*$B55*(1+R$15),0)),IF(C55="y",0,IF($B55&gt;0,L55*$B55*(1-R$15),0)))</f>
        <v>0</v>
      </c>
      <c r="S55" s="32">
        <f>IF(S$14="Increase",IF(C55="y",0,IF($B55&gt;0,M55*$B55*(1+S$15),0)),IF(C55="y",0,IF($B55&gt;0,M55*$B55*(1-S$15),0)))</f>
        <v>0</v>
      </c>
      <c r="T55" s="32">
        <f>IF(T$14="Increase",IF(C55="y",F55*B55*(1+T$15),0),IF(C55="y",F55*B55*(1-T$15),0))</f>
        <v>0</v>
      </c>
    </row>
    <row r="56" spans="1:20" x14ac:dyDescent="0.2">
      <c r="A56" s="21" t="s">
        <v>93</v>
      </c>
      <c r="B56" s="40"/>
      <c r="C56" s="41"/>
      <c r="D56" s="53"/>
      <c r="E56" s="4"/>
      <c r="F56" s="4"/>
      <c r="G56" s="4"/>
      <c r="H56" s="4"/>
      <c r="I56" s="4"/>
      <c r="J56" s="4"/>
      <c r="K56" s="4"/>
      <c r="L56" s="4"/>
      <c r="M56" s="4"/>
      <c r="N56" s="4"/>
      <c r="O56" s="23">
        <f>SUM(O19:O55)</f>
        <v>13.889534325860948</v>
      </c>
      <c r="P56" s="23">
        <f>SUM(P19:P55)+B14*(1-B7)*B4</f>
        <v>21.049011646195062</v>
      </c>
      <c r="Q56" s="23">
        <f>SUM(Q19:Q55)+B14*B7*B6</f>
        <v>0</v>
      </c>
      <c r="R56" s="23">
        <f>SUM(R19:R55)</f>
        <v>30.617621861485041</v>
      </c>
      <c r="S56" s="23">
        <f>SUM(S19:S55)-(B14*(1-B7)*B4+B14*B7*B6)</f>
        <v>52.788050446045375</v>
      </c>
      <c r="T56" s="23">
        <f>SUM(T19:T55)</f>
        <v>0</v>
      </c>
    </row>
    <row r="57" spans="1:20" s="11" customFormat="1" x14ac:dyDescent="0.2">
      <c r="A57" s="21" t="s">
        <v>143</v>
      </c>
      <c r="B57" s="40"/>
      <c r="C57" s="41"/>
      <c r="D57" s="53"/>
      <c r="E57" s="21"/>
      <c r="F57" s="21"/>
      <c r="G57" s="21"/>
      <c r="H57" s="21"/>
      <c r="I57" s="21"/>
      <c r="J57" s="21"/>
      <c r="K57" s="21"/>
      <c r="L57" s="21"/>
      <c r="M57" s="21"/>
      <c r="N57" s="21"/>
      <c r="O57" s="23">
        <f>O56 - (O56/$T58)*Sorghum!$I25</f>
        <v>13.889534325860948</v>
      </c>
      <c r="P57" s="23">
        <f>P56 - (P56/$T58)*Sorghum!$I25</f>
        <v>21.049011646195062</v>
      </c>
      <c r="Q57" s="23">
        <f>Q56 - (Q56/$T58)*Sorghum!$I25</f>
        <v>0</v>
      </c>
      <c r="R57" s="23">
        <f>R56 - (R56/$T58)*Sorghum!$I25</f>
        <v>30.617621861485041</v>
      </c>
      <c r="S57" s="23">
        <f>S56 - (S56/$T58)*Sorghum!$I25</f>
        <v>52.788050446045375</v>
      </c>
      <c r="T57" s="23">
        <f>Sorghum!I25</f>
        <v>0</v>
      </c>
    </row>
    <row r="58" spans="1:20" x14ac:dyDescent="0.2">
      <c r="P58">
        <f>M14+M15</f>
        <v>0</v>
      </c>
      <c r="T58" s="10">
        <f>SUM(O56:T56)</f>
        <v>118.34421827958643</v>
      </c>
    </row>
    <row r="59" spans="1:20" x14ac:dyDescent="0.2">
      <c r="T59" s="10">
        <f>SUM(O57:T57)</f>
        <v>118.34421827958643</v>
      </c>
    </row>
    <row r="60" spans="1:20" x14ac:dyDescent="0.2">
      <c r="T60" s="10"/>
    </row>
    <row r="61" spans="1:20" x14ac:dyDescent="0.2">
      <c r="T61" s="10"/>
    </row>
    <row r="64" spans="1:20" x14ac:dyDescent="0.2">
      <c r="O64" t="s">
        <v>89</v>
      </c>
    </row>
    <row r="65" spans="15:15" x14ac:dyDescent="0.2">
      <c r="O65" t="s">
        <v>90</v>
      </c>
    </row>
  </sheetData>
  <mergeCells count="18">
    <mergeCell ref="A42:B42"/>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formula1>$O$64:$O$65</formula1>
    </dataValidation>
  </dataValidations>
  <pageMargins left="0.75" right="0.75" top="1" bottom="1"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showGridLines="0" workbookViewId="0">
      <selection activeCell="I25" sqref="I25"/>
    </sheetView>
  </sheetViews>
  <sheetFormatPr defaultRowHeight="12.75" x14ac:dyDescent="0.2"/>
  <cols>
    <col min="1" max="1" width="3" customWidth="1"/>
    <col min="2" max="2" width="4" customWidth="1"/>
    <col min="3" max="3" width="28.7109375" customWidth="1"/>
    <col min="4" max="4" width="8.7109375" customWidth="1"/>
    <col min="5" max="5" width="7.7109375" customWidth="1"/>
    <col min="6" max="6" width="7.85546875" customWidth="1"/>
    <col min="7" max="7" width="10" customWidth="1"/>
    <col min="8" max="8" width="5" customWidth="1"/>
    <col min="9" max="9" width="8.7109375" customWidth="1"/>
  </cols>
  <sheetData>
    <row r="1" spans="2:11" ht="15.75" x14ac:dyDescent="0.25">
      <c r="B1" s="248" t="s">
        <v>157</v>
      </c>
      <c r="C1" s="249"/>
      <c r="D1" s="249"/>
      <c r="E1" s="249"/>
      <c r="F1" s="249"/>
      <c r="G1" s="249"/>
      <c r="H1" s="249"/>
      <c r="I1" s="249"/>
      <c r="K1" t="s">
        <v>85</v>
      </c>
    </row>
    <row r="2" spans="2:11" ht="5.25" customHeight="1" x14ac:dyDescent="0.2">
      <c r="B2" s="4"/>
      <c r="C2" s="4"/>
      <c r="D2" s="4"/>
      <c r="E2" s="4"/>
      <c r="F2" s="4"/>
      <c r="G2" s="207"/>
      <c r="H2" s="169"/>
      <c r="I2" s="4"/>
    </row>
    <row r="3" spans="2:11" s="26" customFormat="1" ht="19.149999999999999" customHeight="1" x14ac:dyDescent="0.2">
      <c r="B3" s="27"/>
      <c r="C3" s="27"/>
      <c r="D3" s="3" t="s">
        <v>153</v>
      </c>
      <c r="E3" s="3" t="s">
        <v>60</v>
      </c>
      <c r="F3" s="3" t="s">
        <v>61</v>
      </c>
      <c r="G3" s="250"/>
      <c r="H3" s="251"/>
      <c r="I3" s="3" t="s">
        <v>5</v>
      </c>
    </row>
    <row r="4" spans="2:11" x14ac:dyDescent="0.2">
      <c r="B4" s="28" t="s">
        <v>62</v>
      </c>
      <c r="C4" s="28"/>
      <c r="D4" s="185"/>
      <c r="E4" s="186"/>
      <c r="F4" s="186"/>
      <c r="G4" s="186"/>
      <c r="H4" s="186"/>
      <c r="I4" s="169"/>
    </row>
    <row r="5" spans="2:11" x14ac:dyDescent="0.2">
      <c r="B5" s="4"/>
      <c r="C5" s="4" t="s">
        <v>25</v>
      </c>
      <c r="D5" s="88">
        <v>45</v>
      </c>
      <c r="E5" s="4" t="s">
        <v>63</v>
      </c>
      <c r="F5" s="91">
        <v>10</v>
      </c>
      <c r="G5" s="177"/>
      <c r="H5" s="177"/>
      <c r="I5" s="5">
        <f>D5*F5</f>
        <v>450</v>
      </c>
    </row>
    <row r="6" spans="2:11" x14ac:dyDescent="0.2">
      <c r="B6" s="4"/>
      <c r="C6" s="4" t="s">
        <v>84</v>
      </c>
      <c r="D6" s="4">
        <v>1</v>
      </c>
      <c r="E6" s="4" t="s">
        <v>69</v>
      </c>
      <c r="F6" s="91">
        <v>0</v>
      </c>
      <c r="G6" s="177"/>
      <c r="H6" s="177"/>
      <c r="I6" s="35">
        <f>D6*F6</f>
        <v>0</v>
      </c>
    </row>
    <row r="7" spans="2:11" x14ac:dyDescent="0.2">
      <c r="B7" s="28" t="s">
        <v>83</v>
      </c>
      <c r="C7" s="29"/>
      <c r="D7" s="4"/>
      <c r="E7" s="4"/>
      <c r="F7" s="17"/>
      <c r="G7" s="177"/>
      <c r="H7" s="177"/>
      <c r="I7" s="56">
        <f>I5+I6</f>
        <v>450</v>
      </c>
    </row>
    <row r="8" spans="2:11" ht="4.5" customHeight="1" x14ac:dyDescent="0.2">
      <c r="B8" s="4"/>
      <c r="C8" s="4"/>
      <c r="D8" s="4"/>
      <c r="E8" s="4"/>
      <c r="F8" s="4"/>
      <c r="G8" s="177"/>
      <c r="H8" s="177"/>
      <c r="I8" s="4"/>
    </row>
    <row r="9" spans="2:11" x14ac:dyDescent="0.2">
      <c r="B9" s="29" t="s">
        <v>64</v>
      </c>
      <c r="C9" s="4"/>
      <c r="D9" s="254"/>
      <c r="E9" s="186"/>
      <c r="F9" s="186"/>
      <c r="G9" s="186"/>
      <c r="H9" s="186"/>
      <c r="I9" s="169"/>
    </row>
    <row r="10" spans="2:11" x14ac:dyDescent="0.2">
      <c r="B10" s="4"/>
      <c r="C10" s="4" t="s">
        <v>65</v>
      </c>
      <c r="D10" s="89">
        <v>1</v>
      </c>
      <c r="E10" s="12" t="s">
        <v>66</v>
      </c>
      <c r="F10" s="92">
        <v>70</v>
      </c>
      <c r="G10" s="177"/>
      <c r="H10" s="177"/>
      <c r="I10" s="5">
        <f t="shared" ref="I10:I17" si="0">D10*F10</f>
        <v>70</v>
      </c>
    </row>
    <row r="11" spans="2:11" ht="15.75" x14ac:dyDescent="0.3">
      <c r="B11" s="4"/>
      <c r="C11" s="4" t="s">
        <v>122</v>
      </c>
      <c r="D11" s="90">
        <v>32</v>
      </c>
      <c r="E11" s="4" t="s">
        <v>195</v>
      </c>
      <c r="F11" s="91">
        <v>0.45</v>
      </c>
      <c r="G11" s="177"/>
      <c r="H11" s="177"/>
      <c r="I11" s="5">
        <f t="shared" si="0"/>
        <v>14.4</v>
      </c>
    </row>
    <row r="12" spans="2:11" ht="15.75" x14ac:dyDescent="0.3">
      <c r="B12" s="4"/>
      <c r="C12" s="4" t="s">
        <v>123</v>
      </c>
      <c r="D12" s="90">
        <v>50</v>
      </c>
      <c r="E12" s="4" t="s">
        <v>195</v>
      </c>
      <c r="F12" s="91">
        <v>0.4</v>
      </c>
      <c r="G12" s="189"/>
      <c r="H12" s="190"/>
      <c r="I12" s="5">
        <f t="shared" si="0"/>
        <v>20</v>
      </c>
    </row>
    <row r="13" spans="2:11" x14ac:dyDescent="0.2">
      <c r="B13" s="4"/>
      <c r="C13" s="4" t="s">
        <v>108</v>
      </c>
      <c r="D13" s="90">
        <v>0</v>
      </c>
      <c r="E13" s="4" t="s">
        <v>195</v>
      </c>
      <c r="F13" s="91">
        <v>0</v>
      </c>
      <c r="G13" s="189"/>
      <c r="H13" s="190"/>
      <c r="I13" s="5">
        <f t="shared" si="0"/>
        <v>0</v>
      </c>
    </row>
    <row r="14" spans="2:11" x14ac:dyDescent="0.2">
      <c r="B14" s="4"/>
      <c r="C14" s="4" t="s">
        <v>97</v>
      </c>
      <c r="D14" s="97">
        <v>0.7</v>
      </c>
      <c r="E14" s="4" t="s">
        <v>67</v>
      </c>
      <c r="F14" s="91">
        <v>20</v>
      </c>
      <c r="G14" s="177"/>
      <c r="H14" s="177"/>
      <c r="I14" s="5">
        <f t="shared" si="0"/>
        <v>14</v>
      </c>
      <c r="J14" s="36"/>
      <c r="K14" s="36"/>
    </row>
    <row r="15" spans="2:11" x14ac:dyDescent="0.2">
      <c r="B15" s="4"/>
      <c r="C15" s="4" t="s">
        <v>68</v>
      </c>
      <c r="D15" s="4">
        <v>1</v>
      </c>
      <c r="E15" s="4" t="s">
        <v>69</v>
      </c>
      <c r="F15" s="92">
        <v>40</v>
      </c>
      <c r="G15" s="177"/>
      <c r="H15" s="177"/>
      <c r="I15" s="5">
        <f t="shared" si="0"/>
        <v>40</v>
      </c>
      <c r="J15" s="36"/>
      <c r="K15" s="36"/>
    </row>
    <row r="16" spans="2:11" ht="14.25" x14ac:dyDescent="0.2">
      <c r="B16" s="4"/>
      <c r="C16" s="4" t="s">
        <v>175</v>
      </c>
      <c r="D16" s="4">
        <v>1</v>
      </c>
      <c r="E16" s="4" t="s">
        <v>69</v>
      </c>
      <c r="F16" s="92">
        <v>0</v>
      </c>
      <c r="G16" s="177"/>
      <c r="H16" s="177"/>
      <c r="I16" s="5">
        <f t="shared" si="0"/>
        <v>0</v>
      </c>
      <c r="J16" s="36"/>
      <c r="K16" s="36"/>
    </row>
    <row r="17" spans="2:11" ht="14.25" x14ac:dyDescent="0.2">
      <c r="B17" s="4"/>
      <c r="C17" s="30" t="s">
        <v>176</v>
      </c>
      <c r="D17" s="4">
        <v>1</v>
      </c>
      <c r="E17" s="4" t="s">
        <v>69</v>
      </c>
      <c r="F17" s="92">
        <v>0</v>
      </c>
      <c r="G17" s="252"/>
      <c r="H17" s="252"/>
      <c r="I17" s="5">
        <f t="shared" si="0"/>
        <v>0</v>
      </c>
      <c r="J17" s="36"/>
      <c r="K17" s="36"/>
    </row>
    <row r="18" spans="2:11" ht="13.15" customHeight="1" x14ac:dyDescent="0.2">
      <c r="B18" s="4"/>
      <c r="C18" s="37" t="s">
        <v>96</v>
      </c>
      <c r="D18" s="37">
        <v>1</v>
      </c>
      <c r="E18" s="37" t="s">
        <v>69</v>
      </c>
      <c r="F18" s="93">
        <v>0</v>
      </c>
      <c r="G18" s="222" t="s">
        <v>142</v>
      </c>
      <c r="H18" s="224" t="s">
        <v>59</v>
      </c>
      <c r="I18" s="44">
        <f>IF(H18="Y",'Machinery Soybeans'!O80,F18)</f>
        <v>9.1559795890188447</v>
      </c>
      <c r="K18" t="s">
        <v>85</v>
      </c>
    </row>
    <row r="19" spans="2:11" x14ac:dyDescent="0.2">
      <c r="B19" s="4"/>
      <c r="C19" s="37" t="s">
        <v>8</v>
      </c>
      <c r="D19" s="37">
        <v>1</v>
      </c>
      <c r="E19" s="37" t="s">
        <v>69</v>
      </c>
      <c r="F19" s="93">
        <v>0</v>
      </c>
      <c r="G19" s="223"/>
      <c r="H19" s="225"/>
      <c r="I19" s="44">
        <f>IF(H18="Y",('Machinery Soybeans'!R80-(I22*'Machinery Soybeans'!B12)),F19)</f>
        <v>22.565862362746724</v>
      </c>
    </row>
    <row r="20" spans="2:11" x14ac:dyDescent="0.2">
      <c r="B20" s="4"/>
      <c r="C20" s="37" t="s">
        <v>80</v>
      </c>
      <c r="D20" s="37">
        <v>1</v>
      </c>
      <c r="E20" s="37" t="s">
        <v>69</v>
      </c>
      <c r="F20" s="93">
        <v>0</v>
      </c>
      <c r="G20" s="223"/>
      <c r="H20" s="225"/>
      <c r="I20" s="44">
        <f>IF(H18="Y",'Machinery Soybeans'!Q80,F20)</f>
        <v>0</v>
      </c>
    </row>
    <row r="21" spans="2:11" x14ac:dyDescent="0.2">
      <c r="B21" s="4"/>
      <c r="C21" s="37" t="s">
        <v>124</v>
      </c>
      <c r="D21" s="37">
        <v>1</v>
      </c>
      <c r="E21" s="37" t="s">
        <v>69</v>
      </c>
      <c r="F21" s="93">
        <v>0</v>
      </c>
      <c r="G21" s="223"/>
      <c r="H21" s="225"/>
      <c r="I21" s="44">
        <f>IF(H18="Y",(IF('Machinery Soybeans'!B5="y",'Machinery Soybeans'!P80,0)),F21)</f>
        <v>15.895662363898412</v>
      </c>
      <c r="J21" s="2"/>
    </row>
    <row r="22" spans="2:11" x14ac:dyDescent="0.2">
      <c r="B22" s="4"/>
      <c r="C22" s="12" t="s">
        <v>87</v>
      </c>
      <c r="D22" s="4">
        <v>1</v>
      </c>
      <c r="E22" s="4" t="s">
        <v>69</v>
      </c>
      <c r="F22" s="91">
        <v>0</v>
      </c>
      <c r="G22" s="175"/>
      <c r="H22" s="175"/>
      <c r="I22" s="5">
        <f>D22*F22</f>
        <v>0</v>
      </c>
      <c r="J22" t="s">
        <v>85</v>
      </c>
    </row>
    <row r="23" spans="2:11" x14ac:dyDescent="0.2">
      <c r="B23" s="4"/>
      <c r="C23" s="12" t="s">
        <v>141</v>
      </c>
      <c r="D23" s="4">
        <v>1</v>
      </c>
      <c r="E23" s="4" t="s">
        <v>69</v>
      </c>
      <c r="F23" s="91">
        <v>0</v>
      </c>
      <c r="G23" s="175"/>
      <c r="H23" s="175"/>
      <c r="I23" s="5">
        <f>D23*F23</f>
        <v>0</v>
      </c>
      <c r="J23" t="s">
        <v>85</v>
      </c>
    </row>
    <row r="24" spans="2:11" ht="14.25" x14ac:dyDescent="0.2">
      <c r="B24" s="4"/>
      <c r="C24" s="4" t="s">
        <v>193</v>
      </c>
      <c r="D24" s="4">
        <v>1</v>
      </c>
      <c r="E24" s="4" t="s">
        <v>69</v>
      </c>
      <c r="F24" s="91">
        <v>20</v>
      </c>
      <c r="G24" s="175"/>
      <c r="H24" s="175"/>
      <c r="I24" s="5">
        <f>D24*F24</f>
        <v>20</v>
      </c>
    </row>
    <row r="25" spans="2:11" ht="14.25" x14ac:dyDescent="0.2">
      <c r="B25" s="4"/>
      <c r="C25" s="12" t="s">
        <v>194</v>
      </c>
      <c r="D25" s="4">
        <v>1</v>
      </c>
      <c r="E25" s="4" t="s">
        <v>69</v>
      </c>
      <c r="F25" s="91">
        <v>200</v>
      </c>
      <c r="G25" s="175"/>
      <c r="H25" s="175"/>
      <c r="I25" s="5">
        <f>D25*F25</f>
        <v>200</v>
      </c>
    </row>
    <row r="26" spans="2:11" x14ac:dyDescent="0.2">
      <c r="B26" s="4"/>
      <c r="C26" s="4" t="s">
        <v>188</v>
      </c>
      <c r="D26" s="4">
        <v>1</v>
      </c>
      <c r="E26" s="4" t="s">
        <v>69</v>
      </c>
      <c r="F26" s="91">
        <v>5</v>
      </c>
      <c r="G26" s="188"/>
      <c r="H26" s="188"/>
      <c r="I26" s="5">
        <f>D26*F26</f>
        <v>5</v>
      </c>
    </row>
    <row r="27" spans="2:11" x14ac:dyDescent="0.2">
      <c r="B27" s="4"/>
      <c r="C27" s="4" t="s">
        <v>70</v>
      </c>
      <c r="D27" s="69">
        <f>SUM(I9:I26)-(SUM('Machinery Soybeans'!O48:O55,'Machinery Soybeans'!P48:P55,'Machinery Soybeans'!Q48:Q55,'Machinery Soybeans'!R48:R55,'Machinery Soybeans'!T48:T55))</f>
        <v>410.96185080285977</v>
      </c>
      <c r="E27" s="4" t="s">
        <v>71</v>
      </c>
      <c r="F27" s="94">
        <v>0.05</v>
      </c>
      <c r="G27" s="31" t="s">
        <v>91</v>
      </c>
      <c r="H27" s="96">
        <v>6</v>
      </c>
      <c r="I27" s="35">
        <f>D27*F27*(H27/12)</f>
        <v>10.274046270071494</v>
      </c>
    </row>
    <row r="28" spans="2:11" x14ac:dyDescent="0.2">
      <c r="B28" s="29" t="s">
        <v>72</v>
      </c>
      <c r="C28" s="4"/>
      <c r="D28" s="4"/>
      <c r="E28" s="4"/>
      <c r="F28" s="4"/>
      <c r="G28" s="177"/>
      <c r="H28" s="177"/>
      <c r="I28" s="56">
        <f>SUM(I10:I27)</f>
        <v>441.29155058573548</v>
      </c>
    </row>
    <row r="29" spans="2:11" ht="7.5" customHeight="1" x14ac:dyDescent="0.2">
      <c r="B29" s="4"/>
      <c r="C29" s="4"/>
      <c r="D29" s="4"/>
      <c r="E29" s="4"/>
      <c r="F29" s="4"/>
      <c r="G29" s="177"/>
      <c r="H29" s="177"/>
      <c r="I29" s="4"/>
    </row>
    <row r="30" spans="2:11" ht="15.75" x14ac:dyDescent="0.25">
      <c r="B30" s="185" t="s">
        <v>73</v>
      </c>
      <c r="C30" s="186"/>
      <c r="D30" s="186"/>
      <c r="E30" s="186"/>
      <c r="F30" s="186"/>
      <c r="G30" s="186"/>
      <c r="H30" s="169"/>
      <c r="I30" s="70">
        <f>I7-I28</f>
        <v>8.7084494142645212</v>
      </c>
    </row>
    <row r="31" spans="2:11" ht="7.5" customHeight="1" x14ac:dyDescent="0.2">
      <c r="B31" s="4"/>
      <c r="C31" s="4"/>
      <c r="D31" s="4"/>
      <c r="E31" s="4"/>
      <c r="F31" s="4"/>
      <c r="G31" s="177"/>
      <c r="H31" s="177"/>
      <c r="I31" s="4"/>
    </row>
    <row r="32" spans="2:11" x14ac:dyDescent="0.2">
      <c r="B32" s="29" t="s">
        <v>74</v>
      </c>
      <c r="C32" s="4"/>
      <c r="D32" s="254"/>
      <c r="E32" s="186"/>
      <c r="F32" s="186"/>
      <c r="G32" s="186"/>
      <c r="H32" s="186"/>
      <c r="I32" s="169"/>
    </row>
    <row r="33" spans="2:11" x14ac:dyDescent="0.2">
      <c r="B33" s="4"/>
      <c r="C33" s="37" t="s">
        <v>125</v>
      </c>
      <c r="D33" s="37"/>
      <c r="E33" s="37"/>
      <c r="F33" s="93">
        <v>0</v>
      </c>
      <c r="G33" s="181" t="s">
        <v>102</v>
      </c>
      <c r="H33" s="182"/>
      <c r="I33" s="44">
        <f>IF(H18="Y",IF('Machinery Soybeans'!B5="y",0,'Machinery Soybeans'!P80),F33)</f>
        <v>0</v>
      </c>
    </row>
    <row r="34" spans="2:11" ht="15" customHeight="1" x14ac:dyDescent="0.2">
      <c r="B34" s="4"/>
      <c r="C34" s="37" t="s">
        <v>81</v>
      </c>
      <c r="D34" s="37"/>
      <c r="E34" s="37"/>
      <c r="F34" s="93">
        <v>0</v>
      </c>
      <c r="G34" s="183"/>
      <c r="H34" s="184"/>
      <c r="I34" s="44">
        <f>IF(H18="Y",'Machinery Soybeans'!S80-(I22*(1-'Machinery Soybeans'!B12)),F34)</f>
        <v>36.44053873648577</v>
      </c>
      <c r="K34" t="s">
        <v>85</v>
      </c>
    </row>
    <row r="35" spans="2:11" x14ac:dyDescent="0.2">
      <c r="B35" s="4"/>
      <c r="C35" s="4" t="s">
        <v>86</v>
      </c>
      <c r="D35" s="4">
        <v>1</v>
      </c>
      <c r="E35" s="4" t="s">
        <v>69</v>
      </c>
      <c r="F35" s="91">
        <v>5</v>
      </c>
      <c r="G35" s="177"/>
      <c r="H35" s="177"/>
      <c r="I35" s="5">
        <f>D35*F35</f>
        <v>5</v>
      </c>
    </row>
    <row r="36" spans="2:11" x14ac:dyDescent="0.2">
      <c r="B36" s="4"/>
      <c r="C36" s="4" t="s">
        <v>187</v>
      </c>
      <c r="D36" s="4">
        <v>1</v>
      </c>
      <c r="E36" s="4" t="s">
        <v>69</v>
      </c>
      <c r="F36" s="91">
        <v>5</v>
      </c>
      <c r="G36" s="177"/>
      <c r="H36" s="177"/>
      <c r="I36" s="35">
        <f>D36*F36</f>
        <v>5</v>
      </c>
    </row>
    <row r="37" spans="2:11" ht="15.75" x14ac:dyDescent="0.25">
      <c r="B37" s="185" t="s">
        <v>75</v>
      </c>
      <c r="C37" s="186"/>
      <c r="D37" s="186"/>
      <c r="E37" s="186"/>
      <c r="F37" s="186"/>
      <c r="G37" s="186"/>
      <c r="H37" s="169"/>
      <c r="I37" s="70">
        <f>I30-SUM(I33:I36)</f>
        <v>-37.732089322221249</v>
      </c>
      <c r="J37" t="s">
        <v>85</v>
      </c>
    </row>
    <row r="38" spans="2:11" x14ac:dyDescent="0.2">
      <c r="B38" s="4"/>
      <c r="C38" s="4"/>
      <c r="D38" s="4"/>
      <c r="E38" s="4"/>
      <c r="F38" s="4"/>
      <c r="G38" s="177"/>
      <c r="H38" s="177"/>
      <c r="I38" s="4"/>
    </row>
    <row r="39" spans="2:11" ht="15.75" x14ac:dyDescent="0.25">
      <c r="B39" s="244" t="str">
        <f>"Breakeven Yield at $" &amp; ROUND(F5,2) &amp;" /bushel"</f>
        <v>Breakeven Yield at $10 /bushel</v>
      </c>
      <c r="C39" s="245"/>
      <c r="D39" s="33">
        <f>I28/F5</f>
        <v>44.129155058573545</v>
      </c>
      <c r="E39" s="246" t="s">
        <v>76</v>
      </c>
      <c r="F39" s="218"/>
      <c r="G39" s="218"/>
      <c r="H39" s="218"/>
      <c r="I39" s="247"/>
      <c r="J39" s="24"/>
      <c r="K39" s="24"/>
    </row>
    <row r="40" spans="2:11" ht="15.75" x14ac:dyDescent="0.25">
      <c r="B40" s="244" t="str">
        <f>"Breakeven Cost at " &amp; ROUND(D5,0) &amp;" bu/acre"</f>
        <v>Breakeven Cost at 45 bu/acre</v>
      </c>
      <c r="C40" s="245"/>
      <c r="D40" s="34">
        <f>I28/D5</f>
        <v>9.8064789019052334</v>
      </c>
      <c r="E40" s="246" t="s">
        <v>154</v>
      </c>
      <c r="F40" s="218"/>
      <c r="G40" s="218"/>
      <c r="H40" s="218"/>
      <c r="I40" s="247"/>
      <c r="J40" s="24"/>
      <c r="K40" s="24"/>
    </row>
    <row r="41" spans="2:11" ht="15.75" x14ac:dyDescent="0.25">
      <c r="B41" s="244" t="str">
        <f>"Breakeven Cost at " &amp; ROUND(D5,0) &amp;" bu/acre"</f>
        <v>Breakeven Cost at 45 bu/acre</v>
      </c>
      <c r="C41" s="245"/>
      <c r="D41" s="34">
        <f>(I28+SUM(I33:I36))/D5</f>
        <v>10.838490873827139</v>
      </c>
      <c r="E41" s="246" t="s">
        <v>155</v>
      </c>
      <c r="F41" s="218"/>
      <c r="G41" s="218"/>
      <c r="H41" s="218"/>
      <c r="I41" s="247"/>
    </row>
    <row r="42" spans="2:11" x14ac:dyDescent="0.2">
      <c r="B42" s="253"/>
      <c r="C42" s="253"/>
      <c r="D42" s="253"/>
      <c r="E42" s="253"/>
      <c r="F42" s="253"/>
      <c r="G42" s="253"/>
      <c r="H42" s="253"/>
      <c r="I42" s="253"/>
    </row>
    <row r="43" spans="2:11" x14ac:dyDescent="0.2">
      <c r="B43" s="176" t="s">
        <v>171</v>
      </c>
      <c r="C43" s="176"/>
      <c r="D43" s="176"/>
      <c r="E43" s="176"/>
      <c r="F43" s="176"/>
      <c r="G43" s="176"/>
      <c r="H43" s="176"/>
      <c r="I43" s="176"/>
    </row>
    <row r="44" spans="2:11" ht="13.15" customHeight="1" x14ac:dyDescent="0.2">
      <c r="B44" s="208" t="s">
        <v>177</v>
      </c>
      <c r="C44" s="180"/>
      <c r="D44" s="180"/>
      <c r="E44" s="180"/>
      <c r="F44" s="180"/>
      <c r="G44" s="180"/>
      <c r="H44" s="180"/>
      <c r="I44" s="180"/>
    </row>
    <row r="45" spans="2:11" x14ac:dyDescent="0.2">
      <c r="B45" s="208" t="s">
        <v>184</v>
      </c>
      <c r="C45" s="180"/>
      <c r="D45" s="180"/>
      <c r="E45" s="180"/>
      <c r="F45" s="180"/>
      <c r="G45" s="180"/>
      <c r="H45" s="180"/>
      <c r="I45" s="180"/>
    </row>
    <row r="46" spans="2:11" x14ac:dyDescent="0.2">
      <c r="B46" s="208" t="s">
        <v>174</v>
      </c>
      <c r="C46" s="180"/>
      <c r="D46" s="180"/>
      <c r="E46" s="180"/>
      <c r="F46" s="180"/>
      <c r="G46" s="180"/>
      <c r="H46" s="180"/>
      <c r="I46" s="180"/>
    </row>
    <row r="47" spans="2:11" x14ac:dyDescent="0.2">
      <c r="B47" s="180"/>
      <c r="C47" s="180"/>
      <c r="D47" s="180"/>
      <c r="E47" s="180"/>
      <c r="F47" s="180"/>
      <c r="G47" s="180"/>
      <c r="H47" s="180"/>
      <c r="I47" s="180"/>
    </row>
    <row r="52" spans="6:7" hidden="1" x14ac:dyDescent="0.2">
      <c r="F52">
        <v>5</v>
      </c>
      <c r="G52" t="s">
        <v>101</v>
      </c>
    </row>
    <row r="53" spans="6:7" hidden="1" x14ac:dyDescent="0.2">
      <c r="F53">
        <v>6</v>
      </c>
      <c r="G53" t="s">
        <v>59</v>
      </c>
    </row>
    <row r="54" spans="6:7" hidden="1" x14ac:dyDescent="0.2">
      <c r="F54">
        <v>7</v>
      </c>
    </row>
    <row r="55" spans="6:7" hidden="1" x14ac:dyDescent="0.2">
      <c r="F55">
        <v>8</v>
      </c>
    </row>
  </sheetData>
  <sheetProtection password="8C97" sheet="1" objects="1" scenarios="1" formatCells="0" formatColumns="0" formatRows="0"/>
  <mergeCells count="46">
    <mergeCell ref="E40:I40"/>
    <mergeCell ref="E41:I41"/>
    <mergeCell ref="B41:C41"/>
    <mergeCell ref="B40:C40"/>
    <mergeCell ref="B37:H37"/>
    <mergeCell ref="E39:I39"/>
    <mergeCell ref="B39:C39"/>
    <mergeCell ref="G38:H38"/>
    <mergeCell ref="G33:H34"/>
    <mergeCell ref="G35:H35"/>
    <mergeCell ref="G36:H36"/>
    <mergeCell ref="G22:H22"/>
    <mergeCell ref="G24:H24"/>
    <mergeCell ref="G25:H25"/>
    <mergeCell ref="G26:H26"/>
    <mergeCell ref="D32:I32"/>
    <mergeCell ref="G28:H28"/>
    <mergeCell ref="G29:H29"/>
    <mergeCell ref="B30:H30"/>
    <mergeCell ref="G31:H31"/>
    <mergeCell ref="G17:H17"/>
    <mergeCell ref="G18:G21"/>
    <mergeCell ref="H18:H21"/>
    <mergeCell ref="G23:H23"/>
    <mergeCell ref="G7:H7"/>
    <mergeCell ref="G8:H8"/>
    <mergeCell ref="G10:H10"/>
    <mergeCell ref="G11:H11"/>
    <mergeCell ref="D9:I9"/>
    <mergeCell ref="G12:H12"/>
    <mergeCell ref="G14:H14"/>
    <mergeCell ref="G13:H13"/>
    <mergeCell ref="G15:H15"/>
    <mergeCell ref="G16:H16"/>
    <mergeCell ref="B1:I1"/>
    <mergeCell ref="G3:H3"/>
    <mergeCell ref="G5:H5"/>
    <mergeCell ref="G6:H6"/>
    <mergeCell ref="D4:I4"/>
    <mergeCell ref="G2:H2"/>
    <mergeCell ref="B42:I42"/>
    <mergeCell ref="B44:I44"/>
    <mergeCell ref="B47:I47"/>
    <mergeCell ref="B43:I43"/>
    <mergeCell ref="B45:I45"/>
    <mergeCell ref="B46:I46"/>
  </mergeCells>
  <phoneticPr fontId="6" type="noConversion"/>
  <dataValidations count="2">
    <dataValidation type="list" allowBlank="1" showInputMessage="1" showErrorMessage="1" sqref="H27">
      <formula1>$F$52:$F$55</formula1>
    </dataValidation>
    <dataValidation type="list" allowBlank="1" showInputMessage="1" showErrorMessage="1" sqref="H18:H21">
      <formula1>$G$52:$G$53</formula1>
    </dataValidation>
  </dataValidations>
  <pageMargins left="0.75" right="0.75" top="1" bottom="1" header="0.5" footer="0.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17" activePane="bottomLeft" state="frozen"/>
      <selection activeCell="H25" sqref="H25"/>
      <selection pane="bottomLeft" activeCell="F22" sqref="F22"/>
    </sheetView>
  </sheetViews>
  <sheetFormatPr defaultRowHeight="12.75" x14ac:dyDescent="0.2"/>
  <cols>
    <col min="1" max="1" width="32.42578125" customWidth="1"/>
    <col min="4" max="4" width="9.7109375" customWidth="1"/>
    <col min="5" max="5" width="8.5703125" customWidth="1"/>
    <col min="6" max="6" width="7.85546875" customWidth="1"/>
    <col min="7" max="7" width="9" customWidth="1"/>
    <col min="8" max="8" width="7.5703125" customWidth="1"/>
    <col min="9" max="10" width="7.140625" customWidth="1"/>
    <col min="11" max="11" width="0" hidden="1" customWidth="1"/>
    <col min="12" max="12" width="8.42578125" hidden="1" customWidth="1"/>
    <col min="13" max="13" width="8.7109375" hidden="1" customWidth="1"/>
    <col min="14" max="14" width="4.7109375" customWidth="1"/>
    <col min="15" max="15" width="8.5703125" customWidth="1"/>
    <col min="16" max="16" width="8.140625" customWidth="1"/>
    <col min="17" max="17" width="8.7109375" customWidth="1"/>
    <col min="18" max="18" width="8.42578125" customWidth="1"/>
    <col min="19" max="19" width="8.5703125" customWidth="1"/>
    <col min="20" max="20" width="8.42578125" customWidth="1"/>
  </cols>
  <sheetData>
    <row r="1" spans="1:20" ht="18" x14ac:dyDescent="0.25">
      <c r="A1" s="228" t="s">
        <v>131</v>
      </c>
      <c r="B1" s="229"/>
      <c r="C1" s="229"/>
      <c r="D1" s="229"/>
      <c r="E1" s="229"/>
      <c r="F1" s="229"/>
      <c r="G1" s="229"/>
      <c r="H1" s="229"/>
      <c r="I1" s="229"/>
      <c r="J1" s="229"/>
      <c r="K1" s="229"/>
      <c r="L1" s="229"/>
      <c r="M1" s="229"/>
      <c r="N1" s="229"/>
      <c r="O1" s="229"/>
      <c r="P1" s="229"/>
      <c r="Q1" s="229"/>
      <c r="R1" s="229"/>
      <c r="S1" s="229"/>
      <c r="T1" s="230"/>
    </row>
    <row r="2" spans="1:20" x14ac:dyDescent="0.2">
      <c r="A2" s="4" t="s">
        <v>192</v>
      </c>
      <c r="B2" s="81">
        <v>2.5</v>
      </c>
      <c r="C2" s="4"/>
      <c r="D2" s="54"/>
      <c r="E2" s="231" t="s">
        <v>121</v>
      </c>
      <c r="F2" s="186"/>
      <c r="G2" s="186"/>
      <c r="H2" s="186"/>
      <c r="I2" s="186"/>
      <c r="J2" s="186"/>
      <c r="K2" s="186"/>
      <c r="L2" s="186"/>
      <c r="M2" s="186"/>
      <c r="N2" s="186"/>
      <c r="O2" s="186"/>
      <c r="P2" s="186"/>
      <c r="Q2" s="186"/>
      <c r="R2" s="186"/>
      <c r="S2" s="186"/>
      <c r="T2" s="169"/>
    </row>
    <row r="3" spans="1:20" x14ac:dyDescent="0.2">
      <c r="A3" s="4" t="s">
        <v>57</v>
      </c>
      <c r="B3" s="31">
        <f>'Machinery Calculations'!C6</f>
        <v>2</v>
      </c>
      <c r="C3" s="17"/>
      <c r="D3" s="47"/>
      <c r="E3" s="226" t="s">
        <v>109</v>
      </c>
      <c r="F3" s="186"/>
      <c r="G3" s="186"/>
      <c r="H3" s="186"/>
      <c r="I3" s="186"/>
      <c r="J3" s="186"/>
      <c r="K3" s="186"/>
      <c r="L3" s="186"/>
      <c r="M3" s="186"/>
      <c r="N3" s="186"/>
      <c r="O3" s="186"/>
      <c r="P3" s="186"/>
      <c r="Q3" s="186"/>
      <c r="R3" s="186"/>
      <c r="S3" s="186"/>
      <c r="T3" s="169"/>
    </row>
    <row r="4" spans="1:20" x14ac:dyDescent="0.2">
      <c r="A4" s="4" t="s">
        <v>77</v>
      </c>
      <c r="B4" s="31">
        <f>'Machinery Calculations'!C7</f>
        <v>12.5</v>
      </c>
      <c r="C4" s="17"/>
      <c r="D4" s="47"/>
      <c r="E4" s="226" t="s">
        <v>111</v>
      </c>
      <c r="F4" s="186"/>
      <c r="G4" s="186"/>
      <c r="H4" s="186"/>
      <c r="I4" s="186"/>
      <c r="J4" s="186"/>
      <c r="K4" s="186"/>
      <c r="L4" s="186"/>
      <c r="M4" s="186"/>
      <c r="N4" s="186"/>
      <c r="O4" s="186"/>
      <c r="P4" s="186"/>
      <c r="Q4" s="186"/>
      <c r="R4" s="186"/>
      <c r="S4" s="186"/>
      <c r="T4" s="169"/>
    </row>
    <row r="5" spans="1:20" x14ac:dyDescent="0.2">
      <c r="A5" s="4" t="s">
        <v>126</v>
      </c>
      <c r="B5" s="31" t="str">
        <f>'Machinery Calculations'!C8</f>
        <v>Y</v>
      </c>
      <c r="C5" s="17"/>
      <c r="D5" s="47"/>
      <c r="E5" s="226" t="s">
        <v>117</v>
      </c>
      <c r="F5" s="186"/>
      <c r="G5" s="186"/>
      <c r="H5" s="186"/>
      <c r="I5" s="186"/>
      <c r="J5" s="186"/>
      <c r="K5" s="186"/>
      <c r="L5" s="186"/>
      <c r="M5" s="186"/>
      <c r="N5" s="186"/>
      <c r="O5" s="186"/>
      <c r="P5" s="186"/>
      <c r="Q5" s="186"/>
      <c r="R5" s="186"/>
      <c r="S5" s="186"/>
      <c r="T5" s="169"/>
    </row>
    <row r="6" spans="1:20" x14ac:dyDescent="0.2">
      <c r="A6" s="4" t="s">
        <v>78</v>
      </c>
      <c r="B6" s="31">
        <f>'Machinery Calculations'!C9</f>
        <v>12.5</v>
      </c>
      <c r="C6" s="17"/>
      <c r="D6" s="47"/>
      <c r="E6" s="226" t="s">
        <v>110</v>
      </c>
      <c r="F6" s="186"/>
      <c r="G6" s="186"/>
      <c r="H6" s="186"/>
      <c r="I6" s="186"/>
      <c r="J6" s="186"/>
      <c r="K6" s="186"/>
      <c r="L6" s="186"/>
      <c r="M6" s="186"/>
      <c r="N6" s="186"/>
      <c r="O6" s="186"/>
      <c r="P6" s="186"/>
      <c r="Q6" s="186"/>
      <c r="R6" s="186"/>
      <c r="S6" s="186"/>
      <c r="T6" s="169"/>
    </row>
    <row r="7" spans="1:20" x14ac:dyDescent="0.2">
      <c r="A7" s="4" t="s">
        <v>79</v>
      </c>
      <c r="B7" s="58">
        <f>'Machinery Calculations'!C10</f>
        <v>0</v>
      </c>
      <c r="C7" s="17"/>
      <c r="D7" s="47"/>
      <c r="E7" s="226" t="s">
        <v>118</v>
      </c>
      <c r="F7" s="186"/>
      <c r="G7" s="186"/>
      <c r="H7" s="186"/>
      <c r="I7" s="186"/>
      <c r="J7" s="186"/>
      <c r="K7" s="186"/>
      <c r="L7" s="186"/>
      <c r="M7" s="186"/>
      <c r="N7" s="186"/>
      <c r="O7" s="186"/>
      <c r="P7" s="186"/>
      <c r="Q7" s="186"/>
      <c r="R7" s="186"/>
      <c r="S7" s="186"/>
      <c r="T7" s="169"/>
    </row>
    <row r="8" spans="1:20" x14ac:dyDescent="0.2">
      <c r="A8" s="4" t="s">
        <v>114</v>
      </c>
      <c r="B8" s="59">
        <f>'Machinery Calculations'!C11</f>
        <v>25</v>
      </c>
      <c r="C8" s="17"/>
      <c r="D8" s="47"/>
      <c r="E8" s="226" t="s">
        <v>130</v>
      </c>
      <c r="F8" s="186"/>
      <c r="G8" s="186"/>
      <c r="H8" s="186"/>
      <c r="I8" s="186"/>
      <c r="J8" s="186"/>
      <c r="K8" s="186"/>
      <c r="L8" s="186"/>
      <c r="M8" s="186"/>
      <c r="N8" s="186"/>
      <c r="O8" s="186"/>
      <c r="P8" s="186"/>
      <c r="Q8" s="186"/>
      <c r="R8" s="186"/>
      <c r="S8" s="186"/>
      <c r="T8" s="169"/>
    </row>
    <row r="9" spans="1:20" x14ac:dyDescent="0.2">
      <c r="A9" s="227" t="s">
        <v>115</v>
      </c>
      <c r="B9" s="186"/>
      <c r="C9" s="186"/>
      <c r="D9" s="169"/>
      <c r="E9" s="226" t="s">
        <v>119</v>
      </c>
      <c r="F9" s="186"/>
      <c r="G9" s="186"/>
      <c r="H9" s="186"/>
      <c r="I9" s="186"/>
      <c r="J9" s="186"/>
      <c r="K9" s="186"/>
      <c r="L9" s="186"/>
      <c r="M9" s="186"/>
      <c r="N9" s="186"/>
      <c r="O9" s="186"/>
      <c r="P9" s="186"/>
      <c r="Q9" s="186"/>
      <c r="R9" s="186"/>
      <c r="S9" s="186"/>
      <c r="T9" s="169"/>
    </row>
    <row r="10" spans="1:20" x14ac:dyDescent="0.2">
      <c r="A10" s="227" t="s">
        <v>116</v>
      </c>
      <c r="B10" s="186"/>
      <c r="C10" s="186"/>
      <c r="D10" s="169"/>
      <c r="E10" s="226" t="s">
        <v>132</v>
      </c>
      <c r="F10" s="186"/>
      <c r="G10" s="186"/>
      <c r="H10" s="186"/>
      <c r="I10" s="186"/>
      <c r="J10" s="186"/>
      <c r="K10" s="186"/>
      <c r="L10" s="186"/>
      <c r="M10" s="186"/>
      <c r="N10" s="186"/>
      <c r="O10" s="186"/>
      <c r="P10" s="186"/>
      <c r="Q10" s="186"/>
      <c r="R10" s="186"/>
      <c r="S10" s="186"/>
      <c r="T10" s="169"/>
    </row>
    <row r="11" spans="1:20" x14ac:dyDescent="0.2">
      <c r="A11" s="227" t="s">
        <v>129</v>
      </c>
      <c r="B11" s="186"/>
      <c r="C11" s="186"/>
      <c r="D11" s="169"/>
      <c r="E11" s="226" t="s">
        <v>133</v>
      </c>
      <c r="F11" s="186"/>
      <c r="G11" s="186"/>
      <c r="H11" s="186"/>
      <c r="I11" s="186"/>
      <c r="J11" s="186"/>
      <c r="K11" s="186"/>
      <c r="L11" s="186"/>
      <c r="M11" s="186"/>
      <c r="N11" s="186"/>
      <c r="O11" s="186"/>
      <c r="P11" s="186"/>
      <c r="Q11" s="186"/>
      <c r="R11" s="186"/>
      <c r="S11" s="186"/>
      <c r="T11" s="169"/>
    </row>
    <row r="12" spans="1:20" hidden="1" x14ac:dyDescent="0.2">
      <c r="A12" s="4" t="s">
        <v>92</v>
      </c>
      <c r="B12" s="18">
        <v>0.33</v>
      </c>
      <c r="C12" s="18"/>
      <c r="D12" s="48"/>
      <c r="E12" s="207"/>
      <c r="F12" s="186"/>
      <c r="G12" s="186"/>
      <c r="H12" s="186"/>
      <c r="I12" s="186"/>
      <c r="J12" s="186"/>
      <c r="K12" s="186"/>
      <c r="L12" s="186"/>
      <c r="M12" s="186"/>
      <c r="N12" s="186"/>
      <c r="O12" s="186"/>
      <c r="P12" s="186"/>
      <c r="Q12" s="186"/>
      <c r="R12" s="186"/>
      <c r="S12" s="186"/>
      <c r="T12" s="169"/>
    </row>
    <row r="13" spans="1:20" ht="13.15" customHeight="1" x14ac:dyDescent="0.2">
      <c r="A13" s="4"/>
      <c r="B13" s="55"/>
      <c r="C13" s="55"/>
      <c r="D13" s="55"/>
      <c r="E13" s="232" t="s">
        <v>112</v>
      </c>
      <c r="F13" s="233"/>
      <c r="G13" s="233"/>
      <c r="H13" s="233"/>
      <c r="I13" s="233"/>
      <c r="J13" s="233"/>
      <c r="K13" s="233"/>
      <c r="L13" s="233"/>
      <c r="M13" s="233"/>
      <c r="N13" s="234"/>
      <c r="O13" s="241" t="s">
        <v>107</v>
      </c>
      <c r="P13" s="242"/>
      <c r="Q13" s="242"/>
      <c r="R13" s="242"/>
      <c r="S13" s="242"/>
      <c r="T13" s="243"/>
    </row>
    <row r="14" spans="1:20" x14ac:dyDescent="0.2">
      <c r="A14" s="4" t="s">
        <v>170</v>
      </c>
      <c r="B14" s="83">
        <v>0.75</v>
      </c>
      <c r="C14" s="55"/>
      <c r="D14" s="55"/>
      <c r="E14" s="235"/>
      <c r="F14" s="209"/>
      <c r="G14" s="209"/>
      <c r="H14" s="209"/>
      <c r="I14" s="209"/>
      <c r="J14" s="209"/>
      <c r="K14" s="209"/>
      <c r="L14" s="209"/>
      <c r="M14" s="209"/>
      <c r="N14" s="236"/>
      <c r="O14" s="60" t="str">
        <f>'Machinery Calculations'!$C4</f>
        <v>Increase</v>
      </c>
      <c r="P14" s="60" t="str">
        <f>'Machinery Calculations'!$C4</f>
        <v>Increase</v>
      </c>
      <c r="Q14" s="60" t="str">
        <f>'Machinery Calculations'!$C4</f>
        <v>Increase</v>
      </c>
      <c r="R14" s="60" t="str">
        <f>'Machinery Calculations'!$C4</f>
        <v>Increase</v>
      </c>
      <c r="S14" s="60" t="str">
        <f>'Machinery Calculations'!$C4</f>
        <v>Increase</v>
      </c>
      <c r="T14" s="60" t="str">
        <f>'Machinery Calculations'!$C4</f>
        <v>Increase</v>
      </c>
    </row>
    <row r="15" spans="1:20" x14ac:dyDescent="0.2">
      <c r="A15" s="4"/>
      <c r="B15" s="55"/>
      <c r="C15" s="55"/>
      <c r="D15" s="55"/>
      <c r="E15" s="237"/>
      <c r="F15" s="238"/>
      <c r="G15" s="238"/>
      <c r="H15" s="238"/>
      <c r="I15" s="238"/>
      <c r="J15" s="238"/>
      <c r="K15" s="238"/>
      <c r="L15" s="238"/>
      <c r="M15" s="238"/>
      <c r="N15" s="239"/>
      <c r="O15" s="58">
        <f>'Machinery Calculations'!$C5</f>
        <v>0.2</v>
      </c>
      <c r="P15" s="58">
        <f>'Machinery Calculations'!$C5</f>
        <v>0.2</v>
      </c>
      <c r="Q15" s="58">
        <f>'Machinery Calculations'!$C5</f>
        <v>0.2</v>
      </c>
      <c r="R15" s="58">
        <f>'Machinery Calculations'!$C5</f>
        <v>0.2</v>
      </c>
      <c r="S15" s="58">
        <f>'Machinery Calculations'!$C5</f>
        <v>0.2</v>
      </c>
      <c r="T15" s="58">
        <f>'Machinery Calculations'!$C5</f>
        <v>0.2</v>
      </c>
    </row>
    <row r="16" spans="1:20" s="1" customFormat="1" ht="43.15" customHeight="1" x14ac:dyDescent="0.2">
      <c r="A16" s="3" t="s">
        <v>0</v>
      </c>
      <c r="B16" s="38" t="s">
        <v>1</v>
      </c>
      <c r="C16" s="38" t="s">
        <v>120</v>
      </c>
      <c r="D16" s="38" t="s">
        <v>128</v>
      </c>
      <c r="E16" s="3" t="s">
        <v>100</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
      <c r="A17" s="4"/>
      <c r="B17" s="39"/>
      <c r="C17" s="37"/>
      <c r="D17" s="49"/>
      <c r="E17" s="4"/>
      <c r="F17" s="4"/>
      <c r="G17" s="4"/>
      <c r="H17" s="4"/>
      <c r="I17" s="4"/>
      <c r="J17" s="4"/>
      <c r="K17" s="4"/>
      <c r="L17" s="4"/>
      <c r="M17" s="4"/>
      <c r="N17" s="4"/>
      <c r="O17" s="4"/>
      <c r="P17" s="4"/>
      <c r="Q17" s="4"/>
      <c r="R17" s="4"/>
      <c r="S17" s="4"/>
      <c r="T17" s="4"/>
    </row>
    <row r="18" spans="1:20" x14ac:dyDescent="0.2">
      <c r="A18" s="13" t="s">
        <v>11</v>
      </c>
      <c r="B18" s="40"/>
      <c r="C18" s="41"/>
      <c r="D18" s="50"/>
      <c r="E18" s="9"/>
      <c r="F18" s="9"/>
      <c r="G18" s="12"/>
      <c r="H18" s="12"/>
      <c r="I18" s="4"/>
      <c r="J18" s="4"/>
      <c r="K18" s="4"/>
      <c r="L18" s="4"/>
      <c r="M18" s="4"/>
      <c r="N18" s="4"/>
      <c r="O18" s="4"/>
      <c r="P18" s="4"/>
      <c r="Q18" s="4"/>
      <c r="R18" s="4"/>
      <c r="S18" s="4"/>
      <c r="T18" s="4"/>
    </row>
    <row r="19" spans="1:20" x14ac:dyDescent="0.2">
      <c r="A19" s="12" t="s">
        <v>12</v>
      </c>
      <c r="B19" s="42"/>
      <c r="C19" s="43"/>
      <c r="D19" s="51"/>
      <c r="E19" s="9"/>
      <c r="F19" s="9">
        <f>IF(D19&gt;0,D19,E19-(G19*B$2*1.05)+H19-I19*12.5+J19)</f>
        <v>-1.0824187500000004</v>
      </c>
      <c r="G19" s="14">
        <v>2.06175</v>
      </c>
      <c r="H19" s="5">
        <f t="shared" ref="H19:H28" si="0">G19*B$3*1.05</f>
        <v>4.3296749999999999</v>
      </c>
      <c r="I19" s="15">
        <v>0.25072390572390574</v>
      </c>
      <c r="J19" s="5">
        <f>I19*B$4*(1-B$7)+I19*B$6*(B$7)</f>
        <v>3.1340488215488218</v>
      </c>
      <c r="K19" s="5">
        <f t="shared" ref="K19:K28" si="1">F19-H19-J19</f>
        <v>-8.5461425715488222</v>
      </c>
      <c r="L19" s="5">
        <f t="shared" ref="L19:L28" si="2">K19*B$12</f>
        <v>-2.8202270486111116</v>
      </c>
      <c r="M19" s="5">
        <f t="shared" ref="M19:M28" si="3">K19-L19</f>
        <v>-5.7259155229377106</v>
      </c>
      <c r="N19" s="4"/>
      <c r="O19" s="32">
        <f t="shared" ref="O19:O28" si="4">IF(O$14="Increase",IF(C19="y",0,IF($B19&gt;0,H19*$B19*(1+O$15),0)),IF(C19="y",0,IF($B19&gt;0,H19*$B19*(1-O$15),0)))</f>
        <v>0</v>
      </c>
      <c r="P19" s="32">
        <f t="shared" ref="P19:P28" si="5">IF(P$14="Increase",IF(C19="y",0,IF($B19&gt;0,(I19*B$4*(1-B$7))*$B19*(1+P$15),0)),IF(C19="y",0,IF($B19&gt;0,(I19*B$4*(1-B$7))*$B19*(1-P$15),0)))</f>
        <v>0</v>
      </c>
      <c r="Q19" s="32">
        <f t="shared" ref="Q19:Q28" si="6">IF(Q$14="Increase",IF(C19="y",0,IF($B19&gt;0,(I19*B$6*(B$7))*$B19*(1+Q$15),0)),IF(C19="y",0,IF($B19&gt;0,(I19*B$6*(B$7))*$B19*(1-Q$15),0)))</f>
        <v>0</v>
      </c>
      <c r="R19" s="32">
        <f t="shared" ref="R19:R28" si="7">IF(R$14="Increase",IF(C19="y",0,IF($B19&gt;0,L19*$B19*(1+R$15),0)),IF(C19="y",0,IF($B19&gt;0,L19*$B19*(1-R$15),0)))</f>
        <v>0</v>
      </c>
      <c r="S19" s="32">
        <f t="shared" ref="S19:S28" si="8">IF(S$14="Increase",IF(C19="y",0,IF($B19&gt;0,M19*$B19*(1+S$15),0)),IF(C19="y",0,IF($B19&gt;0,M19*$B19*(1-S$15),0)))</f>
        <v>0</v>
      </c>
      <c r="T19" s="32">
        <f t="shared" ref="T19:T28" si="9">IF(T$14="Increase",IF(C19="y",F19*B19*(1+T$15),0),IF(C19="y",F19*B19*(1-T$15),0))</f>
        <v>0</v>
      </c>
    </row>
    <row r="20" spans="1:20" x14ac:dyDescent="0.2">
      <c r="A20" s="12" t="s">
        <v>13</v>
      </c>
      <c r="B20" s="42"/>
      <c r="C20" s="43"/>
      <c r="D20" s="51"/>
      <c r="E20" s="9"/>
      <c r="F20" s="9">
        <f t="shared" ref="F20:F28" si="10">IF(D20&gt;0,D20,E20-(G20*B$2*1.05)+H20-I20*12.5+J20)</f>
        <v>-0.55650000000000022</v>
      </c>
      <c r="G20" s="14">
        <v>1.06</v>
      </c>
      <c r="H20" s="5">
        <f t="shared" si="0"/>
        <v>2.2260000000000004</v>
      </c>
      <c r="I20" s="15">
        <v>6.6969696969696971E-2</v>
      </c>
      <c r="J20" s="5">
        <f t="shared" ref="J20:J28" si="11">I20*B$4</f>
        <v>0.83712121212121215</v>
      </c>
      <c r="K20" s="5">
        <f t="shared" si="1"/>
        <v>-3.6196212121212126</v>
      </c>
      <c r="L20" s="5">
        <f t="shared" si="2"/>
        <v>-1.1944750000000002</v>
      </c>
      <c r="M20" s="5">
        <f t="shared" si="3"/>
        <v>-2.4251462121212124</v>
      </c>
      <c r="N20" s="4"/>
      <c r="O20" s="32">
        <f t="shared" si="4"/>
        <v>0</v>
      </c>
      <c r="P20" s="32">
        <f t="shared" si="5"/>
        <v>0</v>
      </c>
      <c r="Q20" s="32">
        <f t="shared" si="6"/>
        <v>0</v>
      </c>
      <c r="R20" s="32">
        <f t="shared" si="7"/>
        <v>0</v>
      </c>
      <c r="S20" s="32">
        <f t="shared" si="8"/>
        <v>0</v>
      </c>
      <c r="T20" s="32">
        <f t="shared" si="9"/>
        <v>0</v>
      </c>
    </row>
    <row r="21" spans="1:20" x14ac:dyDescent="0.2">
      <c r="A21" s="12" t="s">
        <v>14</v>
      </c>
      <c r="B21" s="42"/>
      <c r="C21" s="43"/>
      <c r="D21" s="51"/>
      <c r="E21" s="9"/>
      <c r="F21" s="9">
        <f t="shared" si="10"/>
        <v>-0.47354999999999992</v>
      </c>
      <c r="G21" s="14">
        <v>0.90200000000000002</v>
      </c>
      <c r="H21" s="5">
        <f t="shared" si="0"/>
        <v>1.8942000000000001</v>
      </c>
      <c r="I21" s="15">
        <v>0.13191919191919191</v>
      </c>
      <c r="J21" s="5">
        <f t="shared" si="11"/>
        <v>1.6489898989898988</v>
      </c>
      <c r="K21" s="5">
        <f t="shared" si="1"/>
        <v>-4.0167398989898988</v>
      </c>
      <c r="L21" s="5">
        <f t="shared" si="2"/>
        <v>-1.3255241666666666</v>
      </c>
      <c r="M21" s="5">
        <f t="shared" si="3"/>
        <v>-2.691215732323232</v>
      </c>
      <c r="N21" s="4"/>
      <c r="O21" s="32">
        <f t="shared" si="4"/>
        <v>0</v>
      </c>
      <c r="P21" s="32">
        <f t="shared" si="5"/>
        <v>0</v>
      </c>
      <c r="Q21" s="32">
        <f t="shared" si="6"/>
        <v>0</v>
      </c>
      <c r="R21" s="32">
        <f t="shared" si="7"/>
        <v>0</v>
      </c>
      <c r="S21" s="32">
        <f t="shared" si="8"/>
        <v>0</v>
      </c>
      <c r="T21" s="32">
        <f t="shared" si="9"/>
        <v>0</v>
      </c>
    </row>
    <row r="22" spans="1:20" x14ac:dyDescent="0.2">
      <c r="A22" s="12" t="s">
        <v>15</v>
      </c>
      <c r="B22" s="42"/>
      <c r="C22" s="43"/>
      <c r="D22" s="51"/>
      <c r="E22" s="9"/>
      <c r="F22" s="9">
        <f t="shared" si="10"/>
        <v>-0.98175000000000079</v>
      </c>
      <c r="G22" s="14">
        <v>1.87</v>
      </c>
      <c r="H22" s="5">
        <f t="shared" si="0"/>
        <v>3.9270000000000005</v>
      </c>
      <c r="I22" s="15">
        <v>0.14074074074074072</v>
      </c>
      <c r="J22" s="5">
        <f t="shared" si="11"/>
        <v>1.7592592592592591</v>
      </c>
      <c r="K22" s="5">
        <f t="shared" si="1"/>
        <v>-6.6680092592592608</v>
      </c>
      <c r="L22" s="5">
        <f t="shared" si="2"/>
        <v>-2.2004430555555561</v>
      </c>
      <c r="M22" s="5">
        <f t="shared" si="3"/>
        <v>-4.4675662037037043</v>
      </c>
      <c r="N22" s="4"/>
      <c r="O22" s="32">
        <f t="shared" si="4"/>
        <v>0</v>
      </c>
      <c r="P22" s="32">
        <f t="shared" si="5"/>
        <v>0</v>
      </c>
      <c r="Q22" s="32">
        <f t="shared" si="6"/>
        <v>0</v>
      </c>
      <c r="R22" s="32">
        <f t="shared" si="7"/>
        <v>0</v>
      </c>
      <c r="S22" s="32">
        <f t="shared" si="8"/>
        <v>0</v>
      </c>
      <c r="T22" s="32">
        <f t="shared" si="9"/>
        <v>0</v>
      </c>
    </row>
    <row r="23" spans="1:20" x14ac:dyDescent="0.2">
      <c r="A23" s="7"/>
      <c r="B23" s="42"/>
      <c r="C23" s="43"/>
      <c r="D23" s="51"/>
      <c r="E23" s="9"/>
      <c r="F23" s="9"/>
      <c r="G23" s="14"/>
      <c r="H23" s="5"/>
      <c r="I23" s="15"/>
      <c r="J23" s="5"/>
      <c r="K23" s="5"/>
      <c r="L23" s="5"/>
      <c r="M23" s="5"/>
      <c r="N23" s="4"/>
      <c r="O23" s="32"/>
      <c r="P23" s="32"/>
      <c r="Q23" s="32"/>
      <c r="R23" s="32"/>
      <c r="S23" s="32"/>
      <c r="T23" s="32"/>
    </row>
    <row r="24" spans="1:20" x14ac:dyDescent="0.2">
      <c r="A24" s="12" t="s">
        <v>16</v>
      </c>
      <c r="B24" s="42"/>
      <c r="C24" s="43"/>
      <c r="D24" s="51"/>
      <c r="E24" s="9"/>
      <c r="F24" s="9">
        <f t="shared" si="10"/>
        <v>-0.32760000000000011</v>
      </c>
      <c r="G24" s="14">
        <v>0.62400000000000011</v>
      </c>
      <c r="H24" s="5">
        <f t="shared" si="0"/>
        <v>1.3104000000000002</v>
      </c>
      <c r="I24" s="15">
        <v>4.631313131313132E-2</v>
      </c>
      <c r="J24" s="5">
        <f t="shared" si="11"/>
        <v>0.57891414141414155</v>
      </c>
      <c r="K24" s="5">
        <f t="shared" si="1"/>
        <v>-2.2169141414141418</v>
      </c>
      <c r="L24" s="5">
        <f t="shared" si="2"/>
        <v>-0.7315816666666668</v>
      </c>
      <c r="M24" s="5">
        <f t="shared" si="3"/>
        <v>-1.485332474747475</v>
      </c>
      <c r="N24" s="4"/>
      <c r="O24" s="32">
        <f t="shared" si="4"/>
        <v>0</v>
      </c>
      <c r="P24" s="32">
        <f t="shared" si="5"/>
        <v>0</v>
      </c>
      <c r="Q24" s="32">
        <f t="shared" si="6"/>
        <v>0</v>
      </c>
      <c r="R24" s="32">
        <f t="shared" si="7"/>
        <v>0</v>
      </c>
      <c r="S24" s="32">
        <f t="shared" si="8"/>
        <v>0</v>
      </c>
      <c r="T24" s="32">
        <f t="shared" si="9"/>
        <v>0</v>
      </c>
    </row>
    <row r="25" spans="1:20" x14ac:dyDescent="0.2">
      <c r="A25" s="12" t="s">
        <v>17</v>
      </c>
      <c r="B25" s="42"/>
      <c r="C25" s="43"/>
      <c r="D25" s="51"/>
      <c r="E25" s="9"/>
      <c r="F25" s="9">
        <f t="shared" si="10"/>
        <v>-0.19319999999999982</v>
      </c>
      <c r="G25" s="14">
        <v>0.36799999999999999</v>
      </c>
      <c r="H25" s="5">
        <f t="shared" si="0"/>
        <v>0.77280000000000004</v>
      </c>
      <c r="I25" s="15">
        <v>9.818181818181819E-2</v>
      </c>
      <c r="J25" s="5">
        <f t="shared" si="11"/>
        <v>1.2272727272727273</v>
      </c>
      <c r="K25" s="5">
        <f t="shared" si="1"/>
        <v>-2.1932727272727273</v>
      </c>
      <c r="L25" s="5">
        <f t="shared" si="2"/>
        <v>-0.72377999999999998</v>
      </c>
      <c r="M25" s="5">
        <f t="shared" si="3"/>
        <v>-1.4694927272727272</v>
      </c>
      <c r="N25" s="4"/>
      <c r="O25" s="32">
        <f t="shared" si="4"/>
        <v>0</v>
      </c>
      <c r="P25" s="32">
        <f t="shared" si="5"/>
        <v>0</v>
      </c>
      <c r="Q25" s="32">
        <f t="shared" si="6"/>
        <v>0</v>
      </c>
      <c r="R25" s="32">
        <f t="shared" si="7"/>
        <v>0</v>
      </c>
      <c r="S25" s="32">
        <f t="shared" si="8"/>
        <v>0</v>
      </c>
      <c r="T25" s="32">
        <f t="shared" si="9"/>
        <v>0</v>
      </c>
    </row>
    <row r="26" spans="1:20" x14ac:dyDescent="0.2">
      <c r="A26" s="12" t="s">
        <v>18</v>
      </c>
      <c r="B26" s="42"/>
      <c r="C26" s="43"/>
      <c r="D26" s="51"/>
      <c r="E26" s="9"/>
      <c r="F26" s="9">
        <f t="shared" si="10"/>
        <v>-1.2256124999999995</v>
      </c>
      <c r="G26" s="14">
        <v>2.3344999999999998</v>
      </c>
      <c r="H26" s="5">
        <f t="shared" si="0"/>
        <v>4.90245</v>
      </c>
      <c r="I26" s="15">
        <v>0.20636363636363636</v>
      </c>
      <c r="J26" s="5">
        <f t="shared" si="11"/>
        <v>2.5795454545454546</v>
      </c>
      <c r="K26" s="5">
        <f t="shared" si="1"/>
        <v>-8.7076079545454537</v>
      </c>
      <c r="L26" s="5">
        <f t="shared" si="2"/>
        <v>-2.8735106249999998</v>
      </c>
      <c r="M26" s="5">
        <f t="shared" si="3"/>
        <v>-5.8340973295454539</v>
      </c>
      <c r="N26" s="4"/>
      <c r="O26" s="32">
        <f t="shared" si="4"/>
        <v>0</v>
      </c>
      <c r="P26" s="32">
        <f t="shared" si="5"/>
        <v>0</v>
      </c>
      <c r="Q26" s="32">
        <f t="shared" si="6"/>
        <v>0</v>
      </c>
      <c r="R26" s="32">
        <f t="shared" si="7"/>
        <v>0</v>
      </c>
      <c r="S26" s="32">
        <f t="shared" si="8"/>
        <v>0</v>
      </c>
      <c r="T26" s="32">
        <f t="shared" si="9"/>
        <v>0</v>
      </c>
    </row>
    <row r="27" spans="1:20" x14ac:dyDescent="0.2">
      <c r="A27" s="12" t="s">
        <v>19</v>
      </c>
      <c r="B27" s="42"/>
      <c r="C27" s="43"/>
      <c r="D27" s="51"/>
      <c r="E27" s="9"/>
      <c r="F27" s="9">
        <f t="shared" si="10"/>
        <v>-1.0207312500000008</v>
      </c>
      <c r="G27" s="14">
        <v>1.9442499999999998</v>
      </c>
      <c r="H27" s="5">
        <f t="shared" si="0"/>
        <v>4.0829249999999995</v>
      </c>
      <c r="I27" s="15">
        <v>0.13141414141414143</v>
      </c>
      <c r="J27" s="5">
        <f t="shared" si="11"/>
        <v>1.6426767676767677</v>
      </c>
      <c r="K27" s="5">
        <f t="shared" si="1"/>
        <v>-6.7463330176767684</v>
      </c>
      <c r="L27" s="5">
        <f t="shared" si="2"/>
        <v>-2.2262898958333337</v>
      </c>
      <c r="M27" s="5">
        <f t="shared" si="3"/>
        <v>-4.5200431218434343</v>
      </c>
      <c r="N27" s="4"/>
      <c r="O27" s="32">
        <f t="shared" si="4"/>
        <v>0</v>
      </c>
      <c r="P27" s="32">
        <f t="shared" si="5"/>
        <v>0</v>
      </c>
      <c r="Q27" s="32">
        <f t="shared" si="6"/>
        <v>0</v>
      </c>
      <c r="R27" s="32">
        <f t="shared" si="7"/>
        <v>0</v>
      </c>
      <c r="S27" s="32">
        <f t="shared" si="8"/>
        <v>0</v>
      </c>
      <c r="T27" s="32">
        <f t="shared" si="9"/>
        <v>0</v>
      </c>
    </row>
    <row r="28" spans="1:20" x14ac:dyDescent="0.2">
      <c r="A28" s="12" t="s">
        <v>20</v>
      </c>
      <c r="B28" s="42"/>
      <c r="C28" s="43"/>
      <c r="D28" s="51"/>
      <c r="E28" s="9"/>
      <c r="F28" s="9">
        <f t="shared" si="10"/>
        <v>-0.44677499999999948</v>
      </c>
      <c r="G28" s="14">
        <v>0.85099999999999998</v>
      </c>
      <c r="H28" s="5">
        <f t="shared" si="0"/>
        <v>1.7871000000000001</v>
      </c>
      <c r="I28" s="15">
        <v>0.14181818181818182</v>
      </c>
      <c r="J28" s="5">
        <f t="shared" si="11"/>
        <v>1.7727272727272727</v>
      </c>
      <c r="K28" s="5">
        <f t="shared" si="1"/>
        <v>-4.0066022727272719</v>
      </c>
      <c r="L28" s="5">
        <f t="shared" si="2"/>
        <v>-1.3221787499999997</v>
      </c>
      <c r="M28" s="5">
        <f t="shared" si="3"/>
        <v>-2.6844235227272719</v>
      </c>
      <c r="N28" s="4"/>
      <c r="O28" s="32">
        <f t="shared" si="4"/>
        <v>0</v>
      </c>
      <c r="P28" s="32">
        <f t="shared" si="5"/>
        <v>0</v>
      </c>
      <c r="Q28" s="32">
        <f t="shared" si="6"/>
        <v>0</v>
      </c>
      <c r="R28" s="32">
        <f t="shared" si="7"/>
        <v>0</v>
      </c>
      <c r="S28" s="32">
        <f t="shared" si="8"/>
        <v>0</v>
      </c>
      <c r="T28" s="32">
        <f t="shared" si="9"/>
        <v>0</v>
      </c>
    </row>
    <row r="29" spans="1:20" x14ac:dyDescent="0.2">
      <c r="A29" s="12"/>
      <c r="B29" s="42"/>
      <c r="C29" s="43"/>
      <c r="D29" s="51"/>
      <c r="E29" s="9"/>
      <c r="F29" s="9"/>
      <c r="G29" s="12"/>
      <c r="H29" s="4"/>
      <c r="I29" s="12"/>
      <c r="J29" s="4"/>
      <c r="K29" s="4"/>
      <c r="L29" s="4"/>
      <c r="M29" s="4"/>
      <c r="N29" s="4"/>
      <c r="O29" s="4"/>
      <c r="P29" s="4"/>
      <c r="Q29" s="4"/>
      <c r="R29" s="4"/>
      <c r="S29" s="4"/>
      <c r="T29" s="4"/>
    </row>
    <row r="30" spans="1:20" x14ac:dyDescent="0.2">
      <c r="A30" s="13" t="s">
        <v>21</v>
      </c>
      <c r="B30" s="42"/>
      <c r="C30" s="43"/>
      <c r="D30" s="51"/>
      <c r="E30" s="9"/>
      <c r="F30" s="9"/>
      <c r="G30" s="12"/>
      <c r="H30" s="4"/>
      <c r="I30" s="12"/>
      <c r="J30" s="4"/>
      <c r="K30" s="4"/>
      <c r="L30" s="4"/>
      <c r="M30" s="4"/>
      <c r="N30" s="4"/>
      <c r="O30" s="4"/>
      <c r="P30" s="4"/>
      <c r="Q30" s="4"/>
      <c r="R30" s="4"/>
      <c r="S30" s="4"/>
      <c r="T30" s="4"/>
    </row>
    <row r="31" spans="1:20" x14ac:dyDescent="0.2">
      <c r="A31" s="12" t="s">
        <v>22</v>
      </c>
      <c r="B31" s="42"/>
      <c r="C31" s="43"/>
      <c r="D31" s="51"/>
      <c r="E31" s="9"/>
      <c r="F31" s="9">
        <f t="shared" ref="F31:F37" si="12">IF(D31&gt;0,D31,E31-(G31*B$2*1.05)+H31-I31*12.5+J31)</f>
        <v>-0.24701250000000008</v>
      </c>
      <c r="G31" s="14">
        <v>0.47050000000000003</v>
      </c>
      <c r="H31" s="5">
        <f t="shared" ref="H31:H37" si="13">G31*B$3*1.05</f>
        <v>0.98805000000000009</v>
      </c>
      <c r="I31" s="15">
        <v>8.037037037037037E-2</v>
      </c>
      <c r="J31" s="5">
        <f t="shared" ref="J31:J37" si="14">I31*B$4</f>
        <v>1.0046296296296295</v>
      </c>
      <c r="K31" s="5">
        <f t="shared" ref="K31:K37" si="15">F31-H31-J31</f>
        <v>-2.2396921296296295</v>
      </c>
      <c r="L31" s="5">
        <f t="shared" ref="L31:L37" si="16">K31*B$12</f>
        <v>-0.73909840277777772</v>
      </c>
      <c r="M31" s="5">
        <f t="shared" ref="M31:M37" si="17">K31-L31</f>
        <v>-1.5005937268518519</v>
      </c>
      <c r="N31" s="4"/>
      <c r="O31" s="32">
        <f t="shared" ref="O31:O37" si="18">IF(O$14="Increase",IF(C31="y",0,IF($B31&gt;0,H31*$B31*(1+O$15),0)),IF(C31="y",0,IF($B31&gt;0,H31*$B31*(1-O$15),0)))</f>
        <v>0</v>
      </c>
      <c r="P31" s="32">
        <f t="shared" ref="P31:P37" si="19">IF(P$14="Increase",IF(C31="y",0,IF($B31&gt;0,(I31*B$4*(1-B$7))*$B31*(1+P$15),0)),IF(C31="y",0,IF($B31&gt;0,(I31*B$4*(1-B$7))*$B31*(1-P$15),0)))</f>
        <v>0</v>
      </c>
      <c r="Q31" s="32">
        <f t="shared" ref="Q31:Q37" si="20">IF(Q$14="Increase",IF(C31="y",0,IF($B31&gt;0,(I31*B$6*(B$7))*$B31*(1+Q$15),0)),IF(C31="y",0,IF($B31&gt;0,(I31*B$6*(B$7))*$B31*(1-Q$15),0)))</f>
        <v>0</v>
      </c>
      <c r="R31" s="32">
        <f t="shared" ref="R31:R37" si="21">IF(R$14="Increase",IF(C31="y",0,IF($B31&gt;0,L31*$B31*(1+R$15),0)),IF(C31="y",0,IF($B31&gt;0,L31*$B31*(1-R$15),0)))</f>
        <v>0</v>
      </c>
      <c r="S31" s="32">
        <f t="shared" ref="S31:S37" si="22">IF(S$14="Increase",IF(C31="y",0,IF($B31&gt;0,M31*$B31*(1+S$15),0)),IF(C31="y",0,IF($B31&gt;0,M31*$B31*(1-S$15),0)))</f>
        <v>0</v>
      </c>
      <c r="T31" s="32">
        <f t="shared" ref="T31:T37" si="23">IF(T$14="Increase",IF(C31="y",F31*B31*(1+T$15),0),IF(C31="y",F31*B31*(1-T$15),0))</f>
        <v>0</v>
      </c>
    </row>
    <row r="32" spans="1:20" x14ac:dyDescent="0.2">
      <c r="A32" s="7"/>
      <c r="B32" s="42"/>
      <c r="C32" s="43"/>
      <c r="D32" s="51"/>
      <c r="E32" s="9"/>
      <c r="F32" s="9"/>
      <c r="G32" s="14"/>
      <c r="H32" s="5"/>
      <c r="I32" s="15"/>
      <c r="J32" s="5"/>
      <c r="K32" s="5"/>
      <c r="L32" s="5"/>
      <c r="M32" s="5"/>
      <c r="N32" s="4"/>
      <c r="O32" s="32"/>
      <c r="P32" s="32"/>
      <c r="Q32" s="32"/>
      <c r="R32" s="32"/>
      <c r="S32" s="32"/>
      <c r="T32" s="32"/>
    </row>
    <row r="33" spans="1:20" x14ac:dyDescent="0.2">
      <c r="A33" s="12" t="s">
        <v>24</v>
      </c>
      <c r="B33" s="42"/>
      <c r="C33" s="43"/>
      <c r="D33" s="51"/>
      <c r="E33" s="9"/>
      <c r="F33" s="9">
        <f t="shared" si="12"/>
        <v>-0.24701250000000008</v>
      </c>
      <c r="G33" s="14">
        <v>0.47050000000000003</v>
      </c>
      <c r="H33" s="5">
        <f t="shared" si="13"/>
        <v>0.98805000000000009</v>
      </c>
      <c r="I33" s="15">
        <v>8.037037037037037E-2</v>
      </c>
      <c r="J33" s="5">
        <f t="shared" si="14"/>
        <v>1.0046296296296295</v>
      </c>
      <c r="K33" s="5">
        <f t="shared" si="15"/>
        <v>-2.2396921296296295</v>
      </c>
      <c r="L33" s="5">
        <f t="shared" si="16"/>
        <v>-0.73909840277777772</v>
      </c>
      <c r="M33" s="5">
        <f t="shared" si="17"/>
        <v>-1.5005937268518519</v>
      </c>
      <c r="N33" s="4"/>
      <c r="O33" s="32">
        <f t="shared" si="18"/>
        <v>0</v>
      </c>
      <c r="P33" s="32">
        <f t="shared" si="19"/>
        <v>0</v>
      </c>
      <c r="Q33" s="32">
        <f t="shared" si="20"/>
        <v>0</v>
      </c>
      <c r="R33" s="32">
        <f t="shared" si="21"/>
        <v>0</v>
      </c>
      <c r="S33" s="32">
        <f t="shared" si="22"/>
        <v>0</v>
      </c>
      <c r="T33" s="32">
        <f t="shared" si="23"/>
        <v>0</v>
      </c>
    </row>
    <row r="34" spans="1:20" x14ac:dyDescent="0.2">
      <c r="A34" s="12" t="s">
        <v>26</v>
      </c>
      <c r="B34" s="42"/>
      <c r="C34" s="43"/>
      <c r="D34" s="51"/>
      <c r="E34" s="9"/>
      <c r="F34" s="9">
        <f t="shared" si="12"/>
        <v>-0.27588750000000006</v>
      </c>
      <c r="G34" s="14">
        <v>0.52550000000000008</v>
      </c>
      <c r="H34" s="5">
        <f t="shared" si="13"/>
        <v>1.1035500000000003</v>
      </c>
      <c r="I34" s="15">
        <v>9.1481481481481469E-2</v>
      </c>
      <c r="J34" s="5">
        <f t="shared" si="14"/>
        <v>1.1435185185185184</v>
      </c>
      <c r="K34" s="5">
        <f t="shared" si="15"/>
        <v>-2.5229560185185189</v>
      </c>
      <c r="L34" s="5">
        <f t="shared" si="16"/>
        <v>-0.83257548611111132</v>
      </c>
      <c r="M34" s="5">
        <f t="shared" si="17"/>
        <v>-1.6903805324074077</v>
      </c>
      <c r="N34" s="4"/>
      <c r="O34" s="32">
        <f t="shared" si="18"/>
        <v>0</v>
      </c>
      <c r="P34" s="32">
        <f t="shared" si="19"/>
        <v>0</v>
      </c>
      <c r="Q34" s="32">
        <f t="shared" si="20"/>
        <v>0</v>
      </c>
      <c r="R34" s="32">
        <f t="shared" si="21"/>
        <v>0</v>
      </c>
      <c r="S34" s="32">
        <f t="shared" si="22"/>
        <v>0</v>
      </c>
      <c r="T34" s="32">
        <f t="shared" si="23"/>
        <v>0</v>
      </c>
    </row>
    <row r="35" spans="1:20" x14ac:dyDescent="0.2">
      <c r="A35" s="12" t="s">
        <v>27</v>
      </c>
      <c r="B35" s="42"/>
      <c r="C35" s="43"/>
      <c r="D35" s="51"/>
      <c r="E35" s="9"/>
      <c r="F35" s="9">
        <f t="shared" si="12"/>
        <v>-0.27588750000000006</v>
      </c>
      <c r="G35" s="14">
        <v>0.52550000000000008</v>
      </c>
      <c r="H35" s="5">
        <f t="shared" si="13"/>
        <v>1.1035500000000003</v>
      </c>
      <c r="I35" s="15">
        <v>9.1481481481481469E-2</v>
      </c>
      <c r="J35" s="5">
        <f t="shared" si="14"/>
        <v>1.1435185185185184</v>
      </c>
      <c r="K35" s="5">
        <f t="shared" si="15"/>
        <v>-2.5229560185185189</v>
      </c>
      <c r="L35" s="5">
        <f t="shared" si="16"/>
        <v>-0.83257548611111132</v>
      </c>
      <c r="M35" s="5">
        <f t="shared" si="17"/>
        <v>-1.6903805324074077</v>
      </c>
      <c r="N35" s="4"/>
      <c r="O35" s="32">
        <f t="shared" si="18"/>
        <v>0</v>
      </c>
      <c r="P35" s="32">
        <f t="shared" si="19"/>
        <v>0</v>
      </c>
      <c r="Q35" s="32">
        <f t="shared" si="20"/>
        <v>0</v>
      </c>
      <c r="R35" s="32">
        <f t="shared" si="21"/>
        <v>0</v>
      </c>
      <c r="S35" s="32">
        <f t="shared" si="22"/>
        <v>0</v>
      </c>
      <c r="T35" s="32">
        <f t="shared" si="23"/>
        <v>0</v>
      </c>
    </row>
    <row r="36" spans="1:20" x14ac:dyDescent="0.2">
      <c r="A36" s="12" t="s">
        <v>28</v>
      </c>
      <c r="B36" s="42"/>
      <c r="C36" s="43"/>
      <c r="D36" s="51"/>
      <c r="E36" s="9"/>
      <c r="F36" s="9">
        <f t="shared" si="12"/>
        <v>-0.39532500000000015</v>
      </c>
      <c r="G36" s="14">
        <v>0.753</v>
      </c>
      <c r="H36" s="5">
        <f t="shared" si="13"/>
        <v>1.5813000000000001</v>
      </c>
      <c r="I36" s="15">
        <v>0.13851851851851851</v>
      </c>
      <c r="J36" s="5">
        <f t="shared" si="14"/>
        <v>1.7314814814814814</v>
      </c>
      <c r="K36" s="5">
        <f t="shared" si="15"/>
        <v>-3.7081064814814817</v>
      </c>
      <c r="L36" s="5">
        <f t="shared" si="16"/>
        <v>-1.2236751388888891</v>
      </c>
      <c r="M36" s="5">
        <f t="shared" si="17"/>
        <v>-2.4844313425925924</v>
      </c>
      <c r="N36" s="4"/>
      <c r="O36" s="32">
        <f t="shared" si="18"/>
        <v>0</v>
      </c>
      <c r="P36" s="32">
        <f t="shared" si="19"/>
        <v>0</v>
      </c>
      <c r="Q36" s="32">
        <f t="shared" si="20"/>
        <v>0</v>
      </c>
      <c r="R36" s="32">
        <f t="shared" si="21"/>
        <v>0</v>
      </c>
      <c r="S36" s="32">
        <f t="shared" si="22"/>
        <v>0</v>
      </c>
      <c r="T36" s="32">
        <f t="shared" si="23"/>
        <v>0</v>
      </c>
    </row>
    <row r="37" spans="1:20" x14ac:dyDescent="0.2">
      <c r="A37" s="12" t="s">
        <v>29</v>
      </c>
      <c r="B37" s="42"/>
      <c r="C37" s="43"/>
      <c r="D37" s="51"/>
      <c r="E37" s="9"/>
      <c r="F37" s="9">
        <f t="shared" si="12"/>
        <v>-0.39532500000000015</v>
      </c>
      <c r="G37" s="14">
        <v>0.753</v>
      </c>
      <c r="H37" s="5">
        <f t="shared" si="13"/>
        <v>1.5813000000000001</v>
      </c>
      <c r="I37" s="15">
        <v>0.13851851851851851</v>
      </c>
      <c r="J37" s="5">
        <f t="shared" si="14"/>
        <v>1.7314814814814814</v>
      </c>
      <c r="K37" s="5">
        <f t="shared" si="15"/>
        <v>-3.7081064814814817</v>
      </c>
      <c r="L37" s="5">
        <f t="shared" si="16"/>
        <v>-1.2236751388888891</v>
      </c>
      <c r="M37" s="5">
        <f t="shared" si="17"/>
        <v>-2.4844313425925924</v>
      </c>
      <c r="N37" s="4"/>
      <c r="O37" s="32">
        <f t="shared" si="18"/>
        <v>0</v>
      </c>
      <c r="P37" s="32">
        <f t="shared" si="19"/>
        <v>0</v>
      </c>
      <c r="Q37" s="32">
        <f t="shared" si="20"/>
        <v>0</v>
      </c>
      <c r="R37" s="32">
        <f t="shared" si="21"/>
        <v>0</v>
      </c>
      <c r="S37" s="32">
        <f t="shared" si="22"/>
        <v>0</v>
      </c>
      <c r="T37" s="32">
        <f t="shared" si="23"/>
        <v>0</v>
      </c>
    </row>
    <row r="38" spans="1:20" x14ac:dyDescent="0.2">
      <c r="A38" s="12"/>
      <c r="B38" s="42"/>
      <c r="C38" s="43"/>
      <c r="D38" s="51"/>
      <c r="E38" s="9"/>
      <c r="F38" s="9"/>
      <c r="G38" s="12"/>
      <c r="H38" s="4"/>
      <c r="I38" s="12"/>
      <c r="J38" s="4"/>
      <c r="K38" s="4"/>
      <c r="L38" s="4"/>
      <c r="M38" s="4"/>
      <c r="N38" s="4"/>
      <c r="O38" s="4"/>
      <c r="P38" s="4"/>
      <c r="Q38" s="4"/>
      <c r="R38" s="4"/>
      <c r="S38" s="4"/>
      <c r="T38" s="4"/>
    </row>
    <row r="39" spans="1:20" x14ac:dyDescent="0.2">
      <c r="A39" s="13" t="s">
        <v>30</v>
      </c>
      <c r="B39" s="42"/>
      <c r="C39" s="43"/>
      <c r="D39" s="51"/>
      <c r="E39" s="9"/>
      <c r="F39" s="9"/>
      <c r="G39" s="12"/>
      <c r="H39" s="4"/>
      <c r="I39" s="12"/>
      <c r="J39" s="4"/>
      <c r="K39" s="4"/>
      <c r="L39" s="4"/>
      <c r="M39" s="4"/>
      <c r="N39" s="4"/>
      <c r="O39" s="4"/>
      <c r="P39" s="4"/>
      <c r="Q39" s="4"/>
      <c r="R39" s="4"/>
      <c r="S39" s="4"/>
      <c r="T39" s="4"/>
    </row>
    <row r="40" spans="1:20" x14ac:dyDescent="0.2">
      <c r="A40" s="12" t="s">
        <v>31</v>
      </c>
      <c r="B40" s="42"/>
      <c r="C40" s="43"/>
      <c r="D40" s="51"/>
      <c r="E40" s="9"/>
      <c r="F40" s="9">
        <f t="shared" ref="F40:F45" si="24">IF(D40&gt;0,D40,E40-(G40*B$2*1.05)+H40-I40*12.5+J40)</f>
        <v>-0.41776875000000002</v>
      </c>
      <c r="G40" s="14">
        <v>0.79574999999999996</v>
      </c>
      <c r="H40" s="5">
        <f t="shared" ref="H40:H45" si="25">G40*B$3*1.05</f>
        <v>1.6710750000000001</v>
      </c>
      <c r="I40" s="15">
        <v>0.1025925925925926</v>
      </c>
      <c r="J40" s="5">
        <f t="shared" ref="J40:J45" si="26">I40*B$4</f>
        <v>1.2824074074074074</v>
      </c>
      <c r="K40" s="5">
        <f t="shared" ref="K40:K45" si="27">F40-H40-J40</f>
        <v>-3.3712511574074076</v>
      </c>
      <c r="L40" s="5">
        <f t="shared" ref="L40:L45" si="28">K40*B$12</f>
        <v>-1.1125128819444445</v>
      </c>
      <c r="M40" s="5">
        <f t="shared" ref="M40:M45" si="29">K40-L40</f>
        <v>-2.2587382754629628</v>
      </c>
      <c r="N40" s="4"/>
      <c r="O40" s="32">
        <f t="shared" ref="O40:O45" si="30">IF(O$14="Increase",IF(C40="y",0,IF($B40&gt;0,H40*$B40*(1+O$15),0)),IF(C40="y",0,IF($B40&gt;0,H40*$B40*(1-O$15),0)))</f>
        <v>0</v>
      </c>
      <c r="P40" s="32">
        <f t="shared" ref="P40:P45" si="31">IF(P$14="Increase",IF(C40="y",0,IF($B40&gt;0,(I40*B$4*(1-B$7))*$B40*(1+P$15),0)),IF(C40="y",0,IF($B40&gt;0,(I40*B$4*(1-B$7))*$B40*(1-P$15),0)))</f>
        <v>0</v>
      </c>
      <c r="Q40" s="32">
        <f t="shared" ref="Q40:Q45" si="32">IF(Q$14="Increase",IF(C40="y",0,IF($B40&gt;0,(I40*B$6*(B$7))*$B40*(1+Q$15),0)),IF(C40="y",0,IF($B40&gt;0,(I40*B$6*(B$7))*$B40*(1-Q$15),0)))</f>
        <v>0</v>
      </c>
      <c r="R40" s="32">
        <f t="shared" ref="R40:R45" si="33">IF(R$14="Increase",IF(C40="y",0,IF($B40&gt;0,L40*$B40*(1+R$15),0)),IF(C40="y",0,IF($B40&gt;0,L40*$B40*(1-R$15),0)))</f>
        <v>0</v>
      </c>
      <c r="S40" s="32">
        <f t="shared" ref="S40:S45" si="34">IF(S$14="Increase",IF(C40="y",0,IF($B40&gt;0,M40*$B40*(1+S$15),0)),IF(C40="y",0,IF($B40&gt;0,M40*$B40*(1-S$15),0)))</f>
        <v>0</v>
      </c>
      <c r="T40" s="32">
        <f t="shared" ref="T40:T45" si="35">IF(T$14="Increase",IF(C40="y",F40*B40*(1+T$15),0),IF(C40="y",F40*B40*(1-T$15),0))</f>
        <v>0</v>
      </c>
    </row>
    <row r="41" spans="1:20" x14ac:dyDescent="0.2">
      <c r="A41" s="12" t="s">
        <v>23</v>
      </c>
      <c r="B41" s="42"/>
      <c r="C41" s="43"/>
      <c r="D41" s="51"/>
      <c r="E41" s="9"/>
      <c r="F41" s="9">
        <f t="shared" si="24"/>
        <v>-0.41776875000000002</v>
      </c>
      <c r="G41" s="14">
        <v>0.79574999999999996</v>
      </c>
      <c r="H41" s="5">
        <f t="shared" si="25"/>
        <v>1.6710750000000001</v>
      </c>
      <c r="I41" s="15">
        <v>0.1025925925925926</v>
      </c>
      <c r="J41" s="5">
        <f t="shared" si="26"/>
        <v>1.2824074074074074</v>
      </c>
      <c r="K41" s="5">
        <f t="shared" si="27"/>
        <v>-3.3712511574074076</v>
      </c>
      <c r="L41" s="5">
        <f t="shared" si="28"/>
        <v>-1.1125128819444445</v>
      </c>
      <c r="M41" s="5">
        <f t="shared" si="29"/>
        <v>-2.2587382754629628</v>
      </c>
      <c r="N41" s="4"/>
      <c r="O41" s="32">
        <f t="shared" si="30"/>
        <v>0</v>
      </c>
      <c r="P41" s="32">
        <f t="shared" si="31"/>
        <v>0</v>
      </c>
      <c r="Q41" s="32">
        <f t="shared" si="32"/>
        <v>0</v>
      </c>
      <c r="R41" s="32">
        <f t="shared" si="33"/>
        <v>0</v>
      </c>
      <c r="S41" s="32">
        <f t="shared" si="34"/>
        <v>0</v>
      </c>
      <c r="T41" s="32">
        <f t="shared" si="35"/>
        <v>0</v>
      </c>
    </row>
    <row r="42" spans="1:20" x14ac:dyDescent="0.2">
      <c r="A42" s="12" t="s">
        <v>26</v>
      </c>
      <c r="B42" s="42">
        <v>1</v>
      </c>
      <c r="C42" s="43"/>
      <c r="D42" s="51"/>
      <c r="E42" s="9">
        <v>17.197161513787453</v>
      </c>
      <c r="F42" s="9">
        <f t="shared" si="24"/>
        <v>16.779392763787452</v>
      </c>
      <c r="G42" s="14">
        <v>0.79574999999999996</v>
      </c>
      <c r="H42" s="5">
        <f t="shared" si="25"/>
        <v>1.6710750000000001</v>
      </c>
      <c r="I42" s="15">
        <v>0.1025925925925926</v>
      </c>
      <c r="J42" s="5">
        <f t="shared" si="26"/>
        <v>1.2824074074074074</v>
      </c>
      <c r="K42" s="5">
        <f t="shared" si="27"/>
        <v>13.825910356380046</v>
      </c>
      <c r="L42" s="5">
        <f t="shared" si="28"/>
        <v>4.562550417605415</v>
      </c>
      <c r="M42" s="5">
        <f t="shared" si="29"/>
        <v>9.2633599387746308</v>
      </c>
      <c r="N42" s="4"/>
      <c r="O42" s="32">
        <f t="shared" si="30"/>
        <v>2.00529</v>
      </c>
      <c r="P42" s="32">
        <f t="shared" si="31"/>
        <v>1.538888888888889</v>
      </c>
      <c r="Q42" s="32">
        <f t="shared" si="32"/>
        <v>0</v>
      </c>
      <c r="R42" s="32">
        <f t="shared" si="33"/>
        <v>5.4750605011264977</v>
      </c>
      <c r="S42" s="32">
        <f t="shared" si="34"/>
        <v>11.116031926529557</v>
      </c>
      <c r="T42" s="32">
        <f t="shared" si="35"/>
        <v>0</v>
      </c>
    </row>
    <row r="43" spans="1:20" x14ac:dyDescent="0.2">
      <c r="A43" s="12" t="s">
        <v>27</v>
      </c>
      <c r="B43" s="42"/>
      <c r="C43" s="43"/>
      <c r="D43" s="51"/>
      <c r="E43" s="9"/>
      <c r="F43" s="9">
        <f t="shared" si="24"/>
        <v>-0.41776875000000002</v>
      </c>
      <c r="G43" s="14">
        <v>0.79574999999999996</v>
      </c>
      <c r="H43" s="5">
        <f t="shared" si="25"/>
        <v>1.6710750000000001</v>
      </c>
      <c r="I43" s="15">
        <v>0.1025925925925926</v>
      </c>
      <c r="J43" s="5">
        <f t="shared" si="26"/>
        <v>1.2824074074074074</v>
      </c>
      <c r="K43" s="5">
        <f t="shared" si="27"/>
        <v>-3.3712511574074076</v>
      </c>
      <c r="L43" s="5">
        <f t="shared" si="28"/>
        <v>-1.1125128819444445</v>
      </c>
      <c r="M43" s="5">
        <f t="shared" si="29"/>
        <v>-2.2587382754629628</v>
      </c>
      <c r="N43" s="4"/>
      <c r="O43" s="32">
        <f t="shared" si="30"/>
        <v>0</v>
      </c>
      <c r="P43" s="32">
        <f t="shared" si="31"/>
        <v>0</v>
      </c>
      <c r="Q43" s="32">
        <f t="shared" si="32"/>
        <v>0</v>
      </c>
      <c r="R43" s="32">
        <f t="shared" si="33"/>
        <v>0</v>
      </c>
      <c r="S43" s="32">
        <f t="shared" si="34"/>
        <v>0</v>
      </c>
      <c r="T43" s="32">
        <f t="shared" si="35"/>
        <v>0</v>
      </c>
    </row>
    <row r="44" spans="1:20" x14ac:dyDescent="0.2">
      <c r="A44" s="12" t="s">
        <v>28</v>
      </c>
      <c r="B44" s="42"/>
      <c r="C44" s="43"/>
      <c r="D44" s="51"/>
      <c r="E44" s="9"/>
      <c r="F44" s="9">
        <f t="shared" si="24"/>
        <v>-0.44664375000000045</v>
      </c>
      <c r="G44" s="14">
        <v>0.85075000000000001</v>
      </c>
      <c r="H44" s="5">
        <f t="shared" si="25"/>
        <v>1.786575</v>
      </c>
      <c r="I44" s="15">
        <v>0.12481481481481482</v>
      </c>
      <c r="J44" s="5">
        <f t="shared" si="26"/>
        <v>1.5601851851851853</v>
      </c>
      <c r="K44" s="5">
        <f t="shared" si="27"/>
        <v>-3.7934039351851858</v>
      </c>
      <c r="L44" s="5">
        <f t="shared" si="28"/>
        <v>-1.2518232986111113</v>
      </c>
      <c r="M44" s="5">
        <f t="shared" si="29"/>
        <v>-2.5415806365740745</v>
      </c>
      <c r="N44" s="4"/>
      <c r="O44" s="32">
        <f t="shared" si="30"/>
        <v>0</v>
      </c>
      <c r="P44" s="32">
        <f t="shared" si="31"/>
        <v>0</v>
      </c>
      <c r="Q44" s="32">
        <f t="shared" si="32"/>
        <v>0</v>
      </c>
      <c r="R44" s="32">
        <f t="shared" si="33"/>
        <v>0</v>
      </c>
      <c r="S44" s="32">
        <f t="shared" si="34"/>
        <v>0</v>
      </c>
      <c r="T44" s="32">
        <f t="shared" si="35"/>
        <v>0</v>
      </c>
    </row>
    <row r="45" spans="1:20" x14ac:dyDescent="0.2">
      <c r="A45" s="12" t="s">
        <v>29</v>
      </c>
      <c r="B45" s="42"/>
      <c r="C45" s="43"/>
      <c r="D45" s="51"/>
      <c r="E45" s="9"/>
      <c r="F45" s="9">
        <f t="shared" si="24"/>
        <v>-0.44664375000000045</v>
      </c>
      <c r="G45" s="14">
        <v>0.85075000000000001</v>
      </c>
      <c r="H45" s="5">
        <f t="shared" si="25"/>
        <v>1.786575</v>
      </c>
      <c r="I45" s="15">
        <v>0.12481481481481482</v>
      </c>
      <c r="J45" s="5">
        <f t="shared" si="26"/>
        <v>1.5601851851851853</v>
      </c>
      <c r="K45" s="5">
        <f t="shared" si="27"/>
        <v>-3.7934039351851858</v>
      </c>
      <c r="L45" s="5">
        <f t="shared" si="28"/>
        <v>-1.2518232986111113</v>
      </c>
      <c r="M45" s="5">
        <f t="shared" si="29"/>
        <v>-2.5415806365740745</v>
      </c>
      <c r="N45" s="4"/>
      <c r="O45" s="32">
        <f t="shared" si="30"/>
        <v>0</v>
      </c>
      <c r="P45" s="32">
        <f t="shared" si="31"/>
        <v>0</v>
      </c>
      <c r="Q45" s="32">
        <f t="shared" si="32"/>
        <v>0</v>
      </c>
      <c r="R45" s="32">
        <f t="shared" si="33"/>
        <v>0</v>
      </c>
      <c r="S45" s="32">
        <f t="shared" si="34"/>
        <v>0</v>
      </c>
      <c r="T45" s="32">
        <f t="shared" si="35"/>
        <v>0</v>
      </c>
    </row>
    <row r="46" spans="1:20" x14ac:dyDescent="0.2">
      <c r="A46" s="12"/>
      <c r="B46" s="42"/>
      <c r="C46" s="43"/>
      <c r="D46" s="51"/>
      <c r="E46" s="9"/>
      <c r="F46" s="9"/>
      <c r="G46" s="12"/>
      <c r="H46" s="4"/>
      <c r="I46" s="12"/>
      <c r="J46" s="4"/>
      <c r="K46" s="4"/>
      <c r="L46" s="4"/>
      <c r="M46" s="4"/>
      <c r="N46" s="4"/>
      <c r="O46" s="4"/>
      <c r="P46" s="4"/>
      <c r="Q46" s="4"/>
      <c r="R46" s="4"/>
      <c r="S46" s="4"/>
      <c r="T46" s="4"/>
    </row>
    <row r="47" spans="1:20" x14ac:dyDescent="0.2">
      <c r="A47" s="13" t="s">
        <v>32</v>
      </c>
      <c r="B47" s="42"/>
      <c r="C47" s="43"/>
      <c r="D47" s="51"/>
      <c r="E47" s="9"/>
      <c r="F47" s="9"/>
      <c r="G47" s="12"/>
      <c r="H47" s="4"/>
      <c r="I47" s="12"/>
      <c r="J47" s="4"/>
      <c r="K47" s="4"/>
      <c r="L47" s="4"/>
      <c r="M47" s="4"/>
      <c r="N47" s="4"/>
      <c r="O47" s="4"/>
      <c r="P47" s="4"/>
      <c r="Q47" s="4"/>
      <c r="R47" s="4"/>
      <c r="S47" s="4"/>
      <c r="T47" s="4"/>
    </row>
    <row r="48" spans="1:20" x14ac:dyDescent="0.2">
      <c r="A48" s="12" t="s">
        <v>33</v>
      </c>
      <c r="B48" s="42"/>
      <c r="C48" s="43"/>
      <c r="D48" s="51"/>
      <c r="E48" s="9"/>
      <c r="F48" s="9">
        <f t="shared" ref="F48:F55" si="36">IF(D48&gt;0,D48,E48-(G48*B$2*1.05)+H48-I48*12.5+J48)</f>
        <v>-1.1811187499999987</v>
      </c>
      <c r="G48" s="14">
        <v>2.2497499999999997</v>
      </c>
      <c r="H48" s="5">
        <f t="shared" ref="H48:H55" si="37">G48*B$3*1.05</f>
        <v>4.724475</v>
      </c>
      <c r="I48" s="15">
        <v>0.18962962962962962</v>
      </c>
      <c r="J48" s="5">
        <f t="shared" ref="J48:J55" si="38">I48*B$4</f>
        <v>2.3703703703703702</v>
      </c>
      <c r="K48" s="5">
        <f t="shared" ref="K48:K55" si="39">F48-H48-J48</f>
        <v>-8.275964120370368</v>
      </c>
      <c r="L48" s="5">
        <f t="shared" ref="L48:L55" si="40">K48*B$12</f>
        <v>-2.7310681597222217</v>
      </c>
      <c r="M48" s="5">
        <f t="shared" ref="M48:M55" si="41">K48-L48</f>
        <v>-5.5448959606481463</v>
      </c>
      <c r="N48" s="4"/>
      <c r="O48" s="32">
        <f t="shared" ref="O48:O54" si="42">IF(O$14="Increase",IF(C48="y",0,IF($B48&gt;0,H48*$B48*(1+O$15),0)),IF(C48="y",0,IF($B48&gt;0,H48*$B48*(1-O$15),0)))</f>
        <v>0</v>
      </c>
      <c r="P48" s="32">
        <f t="shared" ref="P48:P54" si="43">IF(P$14="Increase",IF(C48="y",0,IF($B48&gt;0,(I48*B$4*(1-B$7))*$B48*(1+P$15),0)),IF(C48="y",0,IF($B48&gt;0,(I48*B$4*(1-B$7))*$B48*(1-P$15),0)))</f>
        <v>0</v>
      </c>
      <c r="Q48" s="32">
        <f t="shared" ref="Q48:Q54" si="44">IF(Q$14="Increase",IF(C48="y",0,IF($B48&gt;0,(I48*B$6*(B$7))*$B48*(1+Q$15),0)),IF(C48="y",0,IF($B48&gt;0,(I48*B$6*(B$7))*$B48*(1-Q$15),0)))</f>
        <v>0</v>
      </c>
      <c r="R48" s="32">
        <f t="shared" ref="R48:R54" si="45">IF(R$14="Increase",IF(C48="y",0,IF($B48&gt;0,L48*$B48*(1+R$15),0)),IF(C48="y",0,IF($B48&gt;0,L48*$B48*(1-R$15),0)))</f>
        <v>0</v>
      </c>
      <c r="S48" s="32">
        <f t="shared" ref="S48:S54" si="46">IF(S$14="Increase",IF(C48="y",0,IF($B48&gt;0,M48*$B48*(1+S$15),0)),IF(C48="y",0,IF($B48&gt;0,M48*$B48*(1-S$15),0)))</f>
        <v>0</v>
      </c>
      <c r="T48" s="32">
        <f t="shared" ref="T48:T54" si="47">IF(T$14="Increase",IF(C48="y",F48*B48*(1+T$15),0),IF(C48="y",F48*B48*(1-T$15),0))</f>
        <v>0</v>
      </c>
    </row>
    <row r="49" spans="1:21" x14ac:dyDescent="0.2">
      <c r="A49" s="12" t="s">
        <v>34</v>
      </c>
      <c r="B49" s="42"/>
      <c r="C49" s="43"/>
      <c r="D49" s="51"/>
      <c r="E49" s="9"/>
      <c r="F49" s="9">
        <f t="shared" si="36"/>
        <v>-1.1811187499999987</v>
      </c>
      <c r="G49" s="14">
        <v>2.2497499999999997</v>
      </c>
      <c r="H49" s="5">
        <f t="shared" si="37"/>
        <v>4.724475</v>
      </c>
      <c r="I49" s="15">
        <v>0.18962962962962962</v>
      </c>
      <c r="J49" s="5">
        <f t="shared" si="38"/>
        <v>2.3703703703703702</v>
      </c>
      <c r="K49" s="5">
        <f t="shared" si="39"/>
        <v>-8.275964120370368</v>
      </c>
      <c r="L49" s="5">
        <f t="shared" si="40"/>
        <v>-2.7310681597222217</v>
      </c>
      <c r="M49" s="5">
        <f t="shared" si="41"/>
        <v>-5.5448959606481463</v>
      </c>
      <c r="N49" s="4"/>
      <c r="O49" s="32">
        <f t="shared" si="42"/>
        <v>0</v>
      </c>
      <c r="P49" s="32">
        <f t="shared" si="43"/>
        <v>0</v>
      </c>
      <c r="Q49" s="32">
        <f t="shared" si="44"/>
        <v>0</v>
      </c>
      <c r="R49" s="32">
        <f t="shared" si="45"/>
        <v>0</v>
      </c>
      <c r="S49" s="32">
        <f t="shared" si="46"/>
        <v>0</v>
      </c>
      <c r="T49" s="32">
        <f t="shared" si="47"/>
        <v>0</v>
      </c>
    </row>
    <row r="50" spans="1:21" x14ac:dyDescent="0.2">
      <c r="A50" s="7"/>
      <c r="B50" s="42"/>
      <c r="C50" s="43"/>
      <c r="D50" s="51"/>
      <c r="E50" s="9"/>
      <c r="F50" s="9"/>
      <c r="G50" s="14"/>
      <c r="H50" s="5"/>
      <c r="I50" s="15"/>
      <c r="J50" s="5"/>
      <c r="K50" s="5"/>
      <c r="L50" s="5"/>
      <c r="M50" s="5"/>
      <c r="N50" s="4"/>
      <c r="O50" s="32"/>
      <c r="P50" s="32"/>
      <c r="Q50" s="32"/>
      <c r="R50" s="32"/>
      <c r="S50" s="32"/>
      <c r="T50" s="32"/>
    </row>
    <row r="51" spans="1:21" x14ac:dyDescent="0.2">
      <c r="A51" s="7"/>
      <c r="B51" s="42"/>
      <c r="C51" s="43"/>
      <c r="D51" s="51"/>
      <c r="E51" s="9"/>
      <c r="F51" s="9"/>
      <c r="G51" s="14"/>
      <c r="H51" s="5"/>
      <c r="I51" s="15"/>
      <c r="J51" s="5"/>
      <c r="K51" s="5"/>
      <c r="L51" s="5"/>
      <c r="M51" s="5"/>
      <c r="N51" s="4"/>
      <c r="O51" s="32"/>
      <c r="P51" s="32"/>
      <c r="Q51" s="32"/>
      <c r="R51" s="32"/>
      <c r="S51" s="32"/>
      <c r="T51" s="32"/>
    </row>
    <row r="52" spans="1:21" x14ac:dyDescent="0.2">
      <c r="A52" s="12" t="s">
        <v>35</v>
      </c>
      <c r="B52" s="42">
        <v>1</v>
      </c>
      <c r="C52" s="43"/>
      <c r="D52" s="51"/>
      <c r="E52" s="9">
        <v>30.090449679842663</v>
      </c>
      <c r="F52" s="9">
        <f t="shared" si="36"/>
        <v>29.10266217984266</v>
      </c>
      <c r="G52" s="14">
        <v>1.8815</v>
      </c>
      <c r="H52" s="5">
        <f t="shared" si="37"/>
        <v>3.9511500000000002</v>
      </c>
      <c r="I52" s="15">
        <v>0.15666666666666668</v>
      </c>
      <c r="J52" s="5">
        <f t="shared" si="38"/>
        <v>1.9583333333333335</v>
      </c>
      <c r="K52" s="5">
        <f t="shared" si="39"/>
        <v>23.19317884650933</v>
      </c>
      <c r="L52" s="5">
        <f t="shared" si="40"/>
        <v>7.6537490193480791</v>
      </c>
      <c r="M52" s="5">
        <f t="shared" si="41"/>
        <v>15.53942982716125</v>
      </c>
      <c r="N52" s="4"/>
      <c r="O52" s="32">
        <f t="shared" si="42"/>
        <v>4.7413800000000004</v>
      </c>
      <c r="P52" s="32">
        <f t="shared" si="43"/>
        <v>2.35</v>
      </c>
      <c r="Q52" s="32">
        <f t="shared" si="44"/>
        <v>0</v>
      </c>
      <c r="R52" s="32">
        <f t="shared" si="45"/>
        <v>9.1844988232176945</v>
      </c>
      <c r="S52" s="32">
        <f t="shared" si="46"/>
        <v>18.647315792593499</v>
      </c>
      <c r="T52" s="32">
        <f t="shared" si="47"/>
        <v>0</v>
      </c>
    </row>
    <row r="53" spans="1:21" x14ac:dyDescent="0.2">
      <c r="A53" s="12" t="s">
        <v>36</v>
      </c>
      <c r="B53" s="42"/>
      <c r="C53" s="43"/>
      <c r="D53" s="51"/>
      <c r="E53" s="9"/>
      <c r="F53" s="9">
        <f t="shared" si="36"/>
        <v>-0.77345625000000018</v>
      </c>
      <c r="G53" s="14">
        <v>1.4732500000000002</v>
      </c>
      <c r="H53" s="5">
        <f t="shared" si="37"/>
        <v>3.0938250000000003</v>
      </c>
      <c r="I53" s="15">
        <v>0.1237037037037037</v>
      </c>
      <c r="J53" s="5">
        <f t="shared" si="38"/>
        <v>1.5462962962962963</v>
      </c>
      <c r="K53" s="5">
        <f t="shared" si="39"/>
        <v>-5.4135775462962972</v>
      </c>
      <c r="L53" s="5">
        <f t="shared" si="40"/>
        <v>-1.7864805902777781</v>
      </c>
      <c r="M53" s="5">
        <f t="shared" si="41"/>
        <v>-3.6270969560185193</v>
      </c>
      <c r="N53" s="4"/>
      <c r="O53" s="32">
        <f t="shared" si="42"/>
        <v>0</v>
      </c>
      <c r="P53" s="32">
        <f t="shared" si="43"/>
        <v>0</v>
      </c>
      <c r="Q53" s="32">
        <f t="shared" si="44"/>
        <v>0</v>
      </c>
      <c r="R53" s="32">
        <f t="shared" si="45"/>
        <v>0</v>
      </c>
      <c r="S53" s="32">
        <f t="shared" si="46"/>
        <v>0</v>
      </c>
      <c r="T53" s="32">
        <f t="shared" si="47"/>
        <v>0</v>
      </c>
    </row>
    <row r="54" spans="1:21" x14ac:dyDescent="0.2">
      <c r="A54" s="7" t="s">
        <v>55</v>
      </c>
      <c r="B54" s="45"/>
      <c r="C54" s="46"/>
      <c r="D54" s="52"/>
      <c r="E54" s="6">
        <v>5.3277350183933505</v>
      </c>
      <c r="F54" s="6">
        <f t="shared" si="36"/>
        <v>5.2437350183933509</v>
      </c>
      <c r="G54" s="19">
        <v>0.16</v>
      </c>
      <c r="H54" s="8">
        <f t="shared" si="37"/>
        <v>0.33600000000000002</v>
      </c>
      <c r="I54" s="20">
        <v>0.1</v>
      </c>
      <c r="J54" s="8">
        <f t="shared" si="38"/>
        <v>1.25</v>
      </c>
      <c r="K54" s="8">
        <f t="shared" si="39"/>
        <v>3.6577350183933506</v>
      </c>
      <c r="L54" s="8">
        <f t="shared" si="40"/>
        <v>1.2070525560698058</v>
      </c>
      <c r="M54" s="8">
        <f t="shared" si="41"/>
        <v>2.4506824623235448</v>
      </c>
      <c r="N54" s="7"/>
      <c r="O54" s="8">
        <f t="shared" si="42"/>
        <v>0</v>
      </c>
      <c r="P54" s="8">
        <f t="shared" si="43"/>
        <v>0</v>
      </c>
      <c r="Q54" s="8">
        <f t="shared" si="44"/>
        <v>0</v>
      </c>
      <c r="R54" s="8">
        <f t="shared" si="45"/>
        <v>0</v>
      </c>
      <c r="S54" s="8">
        <f t="shared" si="46"/>
        <v>0</v>
      </c>
      <c r="T54" s="8">
        <f t="shared" si="47"/>
        <v>0</v>
      </c>
      <c r="U54" s="2"/>
    </row>
    <row r="55" spans="1:21" x14ac:dyDescent="0.2">
      <c r="A55" s="240" t="s">
        <v>113</v>
      </c>
      <c r="B55" s="169"/>
      <c r="C55" s="46"/>
      <c r="D55" s="52"/>
      <c r="E55" s="6">
        <f>((0.0631009 + 0.0011459*B8 - 0.0000068*(B8^2))*1.052 + B8*2*B2*(1.05)/(6*950) + ((B8*2/45) + 30/60)*B4/950)*'No-Till Soybeans'!D5</f>
        <v>6.1323058349473687</v>
      </c>
      <c r="F55" s="6">
        <f t="shared" si="36"/>
        <v>5.9250689928421068</v>
      </c>
      <c r="G55" s="19">
        <f>(('No-Till Soybeans'!D5)/950)*'Machinery Soybeans'!B8*2/6</f>
        <v>0.39473684210526322</v>
      </c>
      <c r="H55" s="8">
        <f t="shared" si="37"/>
        <v>0.82894736842105277</v>
      </c>
      <c r="I55" s="20">
        <f>((30/60)+(B8*2/45))*'No-Till Soybeans'!D5/950</f>
        <v>7.6315789473684212E-2</v>
      </c>
      <c r="J55" s="8">
        <f t="shared" si="38"/>
        <v>0.95394736842105265</v>
      </c>
      <c r="K55" s="8">
        <f t="shared" si="39"/>
        <v>4.1421742560000006</v>
      </c>
      <c r="L55" s="8">
        <f t="shared" si="40"/>
        <v>1.3669175044800002</v>
      </c>
      <c r="M55" s="8">
        <f t="shared" si="41"/>
        <v>2.7752567515200006</v>
      </c>
      <c r="N55" s="7"/>
      <c r="O55" s="8">
        <f>IF(O$14="Increase",IF(C55="y",0,IF($B8&gt;0,H55*(1+O$15),0)),IF(C55="y",0,IF($B8&gt;0,H55*(1-O$15),0)))</f>
        <v>0.99473684210526325</v>
      </c>
      <c r="P55" s="8">
        <f>IF(P$14="Increase",IF(C55="y",0,IF($B8&gt;0,(I55*B$4*(1-B$7)*(1+P$15)),0)),IF(C55="y",0,IF($B8&gt;0,(I55*B$4*(1-B$7)*(1-P$15)),0)))</f>
        <v>1.1447368421052631</v>
      </c>
      <c r="Q55" s="8">
        <f>IF(Q$14="Increase",IF(C55="y",0,IF($B8&gt;0,(I55*B$6*(B$7)*(1+Q$15)),0)),IF(C55="y",0,IF($B8&gt;0,(I55*B$6*(B$7)*(1-Q$15)),0)))</f>
        <v>0</v>
      </c>
      <c r="R55" s="8">
        <f>IF(R$14="Increase",IF(C55="y",0,IF($B8&gt;0,L55*(1+R$15),0)),IF(C55="y",0,IF($B8&gt;0,L55*(1-R$15),0)))</f>
        <v>1.6403010053760001</v>
      </c>
      <c r="S55" s="8">
        <f>IF(S$14="Increase",IF(C55="y",0,IF($B8&gt;0,M55*(1+S$15),0)),IF(C55="y",0,IF($B8&gt;0,M55*(1-S$15),0)))</f>
        <v>3.3303081018240008</v>
      </c>
      <c r="T55" s="8">
        <f>IF(T$14="Increase",IF(C55="y",F55*(1+T$15),0),IF(C55="y",F55*(1-T$15),0))</f>
        <v>0</v>
      </c>
    </row>
    <row r="56" spans="1:21" x14ac:dyDescent="0.2">
      <c r="A56" s="12"/>
      <c r="B56" s="42"/>
      <c r="C56" s="43"/>
      <c r="D56" s="51"/>
      <c r="E56" s="9"/>
      <c r="F56" s="9"/>
      <c r="G56" s="12"/>
      <c r="H56" s="4"/>
      <c r="I56" s="12"/>
      <c r="J56" s="4"/>
      <c r="K56" s="4"/>
      <c r="L56" s="4"/>
      <c r="M56" s="4"/>
      <c r="N56" s="4"/>
      <c r="O56" s="4"/>
      <c r="P56" s="4"/>
      <c r="Q56" s="4"/>
      <c r="R56" s="4"/>
      <c r="S56" s="4"/>
      <c r="T56" s="4"/>
    </row>
    <row r="57" spans="1:21" x14ac:dyDescent="0.2">
      <c r="A57" s="13" t="s">
        <v>37</v>
      </c>
      <c r="B57" s="42"/>
      <c r="C57" s="43"/>
      <c r="D57" s="51"/>
      <c r="E57" s="9"/>
      <c r="F57" s="9"/>
      <c r="G57" s="12"/>
      <c r="H57" s="4"/>
      <c r="I57" s="12"/>
      <c r="J57" s="4"/>
      <c r="K57" s="4"/>
      <c r="L57" s="4"/>
      <c r="M57" s="4"/>
      <c r="N57" s="4"/>
      <c r="O57" s="4"/>
      <c r="P57" s="4"/>
      <c r="Q57" s="4"/>
      <c r="R57" s="4"/>
      <c r="S57" s="4"/>
      <c r="T57" s="4"/>
    </row>
    <row r="58" spans="1:21" x14ac:dyDescent="0.2">
      <c r="A58" s="12" t="s">
        <v>38</v>
      </c>
      <c r="B58" s="42"/>
      <c r="C58" s="43"/>
      <c r="D58" s="51"/>
      <c r="E58" s="9"/>
      <c r="F58" s="9">
        <f>IF(D58&gt;0,D58,E58-(G58*B$2*1.05)+H58-I58*12.5+J58)</f>
        <v>-2.5016250000000015</v>
      </c>
      <c r="G58" s="14">
        <v>4.7649999999999997</v>
      </c>
      <c r="H58" s="5">
        <f>G58*B$3*1.05</f>
        <v>10.006499999999999</v>
      </c>
      <c r="I58" s="15">
        <v>0.55976430976430969</v>
      </c>
      <c r="J58" s="5">
        <f>I58*B$4</f>
        <v>6.9970538720538711</v>
      </c>
      <c r="K58" s="5">
        <f>F58-H58-J58</f>
        <v>-19.505178872053872</v>
      </c>
      <c r="L58" s="5">
        <f>K58*B$12</f>
        <v>-6.4367090277777779</v>
      </c>
      <c r="M58" s="5">
        <f>K58-L58</f>
        <v>-13.068469844276095</v>
      </c>
      <c r="N58" s="4"/>
      <c r="O58" s="32">
        <f>IF(O$14="Increase",IF(C58="y",0,IF($B58&gt;0,H58*$B58*(1+O$15),0)),IF(C58="y",0,IF($B58&gt;0,H58*$B58*(1-O$15),0)))</f>
        <v>0</v>
      </c>
      <c r="P58" s="32">
        <f>IF(P$14="Increase",IF(C58="y",0,IF($B58&gt;0,(I58*B$4*(1-B$7))*$B58*(1+P$15),0)),IF(C58="y",0,IF($B58&gt;0,(I58*B$4*(1-B$7))*$B58*(1-P$15),0)))</f>
        <v>0</v>
      </c>
      <c r="Q58" s="32">
        <f>IF(Q$14="Increase",IF(C58="y",0,IF($B58&gt;0,(I58*B$6*(B$7))*$B58*(1+Q$15),0)),IF(C58="y",0,IF($B58&gt;0,(I58*B$6*(B$7))*$B58*(1-Q$15),0)))</f>
        <v>0</v>
      </c>
      <c r="R58" s="32">
        <f>IF(R$14="Increase",IF(C58="y",0,IF($B58&gt;0,L58*$B58*(1+R$15),0)),IF(C58="y",0,IF($B58&gt;0,L58*$B58*(1-R$15),0)))</f>
        <v>0</v>
      </c>
      <c r="S58" s="32">
        <f>IF(S$14="Increase",IF(C58="y",0,IF($B58&gt;0,M58*$B58*(1+S$15),0)),IF(C58="y",0,IF($B58&gt;0,M58*$B58*(1-S$15),0)))</f>
        <v>0</v>
      </c>
      <c r="T58" s="32">
        <f>IF(T$14="Increase",IF(C58="y",F58*B58*(1+T$15),0),IF(C58="y",F58*B58*(1-T$15),0))</f>
        <v>0</v>
      </c>
    </row>
    <row r="59" spans="1:21" x14ac:dyDescent="0.2">
      <c r="A59" s="12" t="s">
        <v>25</v>
      </c>
      <c r="B59" s="42"/>
      <c r="C59" s="43"/>
      <c r="D59" s="51"/>
      <c r="E59" s="16"/>
      <c r="F59" s="9">
        <f>IF(D59&gt;0,D59,E59-(G59*B$2*1.05)+H59-I59*12.5+J59)</f>
        <v>-1.9448625000000019</v>
      </c>
      <c r="G59" s="14">
        <v>3.7044999999999999</v>
      </c>
      <c r="H59" s="5">
        <f>G59*B$3*1.05</f>
        <v>7.7794499999999998</v>
      </c>
      <c r="I59" s="15">
        <v>0.44340067340067341</v>
      </c>
      <c r="J59" s="5">
        <f>I59*B$4</f>
        <v>5.5425084175084178</v>
      </c>
      <c r="K59" s="5">
        <f>F59-H59-J59</f>
        <v>-15.266820917508419</v>
      </c>
      <c r="L59" s="5">
        <f>K59*B$12</f>
        <v>-5.038050902777778</v>
      </c>
      <c r="M59" s="5">
        <f>K59-L59</f>
        <v>-10.228770014730641</v>
      </c>
      <c r="N59" s="4"/>
      <c r="O59" s="32">
        <f>IF(O$14="Increase",IF(C59="y",0,IF($B59&gt;0,H59*$B59*(1+O$15),0)),IF(C59="y",0,IF($B59&gt;0,H59*$B59*(1-O$15),0)))</f>
        <v>0</v>
      </c>
      <c r="P59" s="32">
        <f>IF(P$14="Increase",IF(C59="y",0,IF($B59&gt;0,(I59*B$4*(1-B$7))*$B59*(1+P$15),0)),IF(C59="y",0,IF($B59&gt;0,(I59*B$4*(1-B$7))*$B59*(1-P$15),0)))</f>
        <v>0</v>
      </c>
      <c r="Q59" s="32">
        <f>IF(Q$14="Increase",IF(C59="y",0,IF($B59&gt;0,(I59*B$6*(B$7))*$B59*(1+Q$15),0)),IF(C59="y",0,IF($B59&gt;0,(I59*B$6*(B$7))*$B59*(1-Q$15),0)))</f>
        <v>0</v>
      </c>
      <c r="R59" s="32">
        <f>IF(R$14="Increase",IF(C59="y",0,IF($B59&gt;0,L59*$B59*(1+R$15),0)),IF(C59="y",0,IF($B59&gt;0,L59*$B59*(1-R$15),0)))</f>
        <v>0</v>
      </c>
      <c r="S59" s="32">
        <f>IF(S$14="Increase",IF(C59="y",0,IF($B59&gt;0,M59*$B59*(1+S$15),0)),IF(C59="y",0,IF($B59&gt;0,M59*$B59*(1-S$15),0)))</f>
        <v>0</v>
      </c>
      <c r="T59" s="32">
        <f>IF(T$14="Increase",IF(C59="y",F59*B59*(1+T$15),0),IF(C59="y",F59*B59*(1-T$15),0))</f>
        <v>0</v>
      </c>
    </row>
    <row r="60" spans="1:21" x14ac:dyDescent="0.2">
      <c r="A60" s="12" t="s">
        <v>39</v>
      </c>
      <c r="B60" s="42"/>
      <c r="C60" s="43"/>
      <c r="D60" s="51"/>
      <c r="E60" s="16"/>
      <c r="F60" s="9">
        <f>IF(D60&gt;0,D60,E60-(G60*B$2*1.05)+H60-I60*12.5+J60)</f>
        <v>-1.6714687499999998</v>
      </c>
      <c r="G60" s="14">
        <v>3.1837499999999999</v>
      </c>
      <c r="H60" s="5">
        <f>G60*B$3*1.05</f>
        <v>6.6858750000000002</v>
      </c>
      <c r="I60" s="15">
        <v>0.38228956228956223</v>
      </c>
      <c r="J60" s="5">
        <f>I60*B$4</f>
        <v>4.7786195286195277</v>
      </c>
      <c r="K60" s="5">
        <f>F60-H60-J60</f>
        <v>-13.135963278619528</v>
      </c>
      <c r="L60" s="5">
        <f>K60*B$12</f>
        <v>-4.3348678819444446</v>
      </c>
      <c r="M60" s="5">
        <f>K60-L60</f>
        <v>-8.801095396675084</v>
      </c>
      <c r="N60" s="4"/>
      <c r="O60" s="32">
        <f>IF(O$14="Increase",IF(C60="y",0,IF($B60&gt;0,H60*$B60*(1+O$15),0)),IF(C60="y",0,IF($B60&gt;0,H60*$B60*(1-O$15),0)))</f>
        <v>0</v>
      </c>
      <c r="P60" s="32">
        <f>IF(P$14="Increase",IF(C60="y",0,IF($B60&gt;0,(I60*B$4*(1-B$7))*$B60*(1+P$15),0)),IF(C60="y",0,IF($B60&gt;0,(I60*B$4*(1-B$7))*$B60*(1-P$15),0)))</f>
        <v>0</v>
      </c>
      <c r="Q60" s="32">
        <f>IF(Q$14="Increase",IF(C60="y",0,IF($B60&gt;0,(I60*B$6*(B$7))*$B60*(1+Q$15),0)),IF(C60="y",0,IF($B60&gt;0,(I60*B$6*(B$7))*$B60*(1-Q$15),0)))</f>
        <v>0</v>
      </c>
      <c r="R60" s="32">
        <f>IF(R$14="Increase",IF(C60="y",0,IF($B60&gt;0,L60*$B60*(1+R$15),0)),IF(C60="y",0,IF($B60&gt;0,L60*$B60*(1-R$15),0)))</f>
        <v>0</v>
      </c>
      <c r="S60" s="32">
        <f>IF(S$14="Increase",IF(C60="y",0,IF($B60&gt;0,M60*$B60*(1+S$15),0)),IF(C60="y",0,IF($B60&gt;0,M60*$B60*(1-S$15),0)))</f>
        <v>0</v>
      </c>
      <c r="T60" s="32">
        <f>IF(T$14="Increase",IF(C60="y",F60*B60*(1+T$15),0),IF(C60="y",F60*B60*(1-T$15),0))</f>
        <v>0</v>
      </c>
    </row>
    <row r="61" spans="1:21" x14ac:dyDescent="0.2">
      <c r="A61" s="12"/>
      <c r="B61" s="42"/>
      <c r="C61" s="43"/>
      <c r="D61" s="51"/>
      <c r="E61" s="9"/>
      <c r="F61" s="9"/>
      <c r="G61" s="12"/>
      <c r="H61" s="4"/>
      <c r="I61" s="12"/>
      <c r="J61" s="4"/>
      <c r="K61" s="4"/>
      <c r="L61" s="4"/>
      <c r="M61" s="4"/>
      <c r="N61" s="4"/>
      <c r="O61" s="4"/>
      <c r="P61" s="4"/>
      <c r="Q61" s="4"/>
      <c r="R61" s="4"/>
      <c r="S61" s="4"/>
      <c r="T61" s="4"/>
    </row>
    <row r="62" spans="1:21" x14ac:dyDescent="0.2">
      <c r="A62" s="13" t="s">
        <v>40</v>
      </c>
      <c r="B62" s="42"/>
      <c r="C62" s="43"/>
      <c r="D62" s="51"/>
      <c r="E62" s="9"/>
      <c r="F62" s="9"/>
      <c r="G62" s="12"/>
      <c r="H62" s="4"/>
      <c r="I62" s="12"/>
      <c r="J62" s="4"/>
      <c r="K62" s="4"/>
      <c r="L62" s="4"/>
      <c r="M62" s="4"/>
      <c r="N62" s="4"/>
      <c r="O62" s="4"/>
      <c r="P62" s="4"/>
      <c r="Q62" s="4"/>
      <c r="R62" s="4"/>
      <c r="S62" s="4"/>
      <c r="T62" s="4"/>
    </row>
    <row r="63" spans="1:21" x14ac:dyDescent="0.2">
      <c r="A63" s="12" t="s">
        <v>41</v>
      </c>
      <c r="B63" s="42">
        <v>1</v>
      </c>
      <c r="C63" s="43"/>
      <c r="D63" s="51"/>
      <c r="E63" s="9">
        <v>5.3117632017187857</v>
      </c>
      <c r="F63" s="9">
        <f t="shared" ref="F63:F69" si="48">IF(D63&gt;0,D63,E63-(G63*B$2*1.05)+H63-I63*12.5+J63)</f>
        <v>5.14122304611179</v>
      </c>
      <c r="G63" s="14">
        <v>0.3248383916323731</v>
      </c>
      <c r="H63" s="5">
        <f t="shared" ref="H63:H69" si="49">G63*B$3*1.05</f>
        <v>0.68216062242798359</v>
      </c>
      <c r="I63" s="15">
        <v>3.9135775526950654E-2</v>
      </c>
      <c r="J63" s="5">
        <f t="shared" ref="J63:J69" si="50">I63*B$4</f>
        <v>0.48919719408688317</v>
      </c>
      <c r="K63" s="5">
        <f t="shared" ref="K63:K69" si="51">F63-H63-J63</f>
        <v>3.9698652295969232</v>
      </c>
      <c r="L63" s="5">
        <f t="shared" ref="L63:L69" si="52">K63*B$12</f>
        <v>1.3100555257669848</v>
      </c>
      <c r="M63" s="5">
        <f t="shared" ref="M63:M69" si="53">K63-L63</f>
        <v>2.6598097038299384</v>
      </c>
      <c r="N63" s="4"/>
      <c r="O63" s="32">
        <f t="shared" ref="O63:O69" si="54">IF(O$14="Increase",IF(C63="y",0,IF($B63&gt;0,H63*$B63*(1+O$15),0)),IF(C63="y",0,IF($B63&gt;0,H63*$B63*(1-O$15),0)))</f>
        <v>0.8185927469135803</v>
      </c>
      <c r="P63" s="32">
        <f t="shared" ref="P63:P69" si="55">IF(P$14="Increase",IF(C63="y",0,IF($B63&gt;0,(I63*B$4*(1-B$7))*$B63*(1+P$15),0)),IF(C63="y",0,IF($B63&gt;0,(I63*B$4*(1-B$7))*$B63*(1-P$15),0)))</f>
        <v>0.58703663290425978</v>
      </c>
      <c r="Q63" s="32">
        <f t="shared" ref="Q63:Q69" si="56">IF(Q$14="Increase",IF(C63="y",0,IF($B63&gt;0,(I63*B$6*(B$7))*$B63*(1+Q$15),0)),IF(C63="y",0,IF($B63&gt;0,(I63*B$6*(B$7))*$B63*(1-Q$15),0)))</f>
        <v>0</v>
      </c>
      <c r="R63" s="32">
        <f t="shared" ref="R63:R69" si="57">IF(R$14="Increase",IF(C63="y",0,IF($B63&gt;0,L63*$B63*(1+R$15),0)),IF(C63="y",0,IF($B63&gt;0,L63*$B63*(1-R$15),0)))</f>
        <v>1.5720666309203817</v>
      </c>
      <c r="S63" s="32">
        <f t="shared" ref="S63:S69" si="58">IF(S$14="Increase",IF(C63="y",0,IF($B63&gt;0,M63*$B63*(1+S$15),0)),IF(C63="y",0,IF($B63&gt;0,M63*$B63*(1-S$15),0)))</f>
        <v>3.1917716445959261</v>
      </c>
      <c r="T63" s="32">
        <f t="shared" ref="T63:T69" si="59">IF(T$14="Increase",IF(C63="y",F63*B63*(1+T$15),0),IF(C63="y",F63*B63*(1-T$15),0))</f>
        <v>0</v>
      </c>
    </row>
    <row r="64" spans="1:21" x14ac:dyDescent="0.2">
      <c r="A64" s="12" t="s">
        <v>42</v>
      </c>
      <c r="B64" s="42"/>
      <c r="C64" s="43"/>
      <c r="D64" s="51"/>
      <c r="E64" s="9"/>
      <c r="F64" s="9">
        <f t="shared" si="48"/>
        <v>-0.21769315843621395</v>
      </c>
      <c r="G64" s="14">
        <v>0.41465363511659803</v>
      </c>
      <c r="H64" s="5">
        <f t="shared" si="49"/>
        <v>0.87077263374485592</v>
      </c>
      <c r="I64" s="15">
        <v>4.9956507615401075E-2</v>
      </c>
      <c r="J64" s="5">
        <f t="shared" si="50"/>
        <v>0.62445634519251347</v>
      </c>
      <c r="K64" s="5">
        <f t="shared" si="51"/>
        <v>-1.7129221373735835</v>
      </c>
      <c r="L64" s="5">
        <f t="shared" si="52"/>
        <v>-0.56526430533328254</v>
      </c>
      <c r="M64" s="5">
        <f t="shared" si="53"/>
        <v>-1.1476578320403008</v>
      </c>
      <c r="N64" s="4"/>
      <c r="O64" s="32">
        <f t="shared" si="54"/>
        <v>0</v>
      </c>
      <c r="P64" s="32">
        <f t="shared" si="55"/>
        <v>0</v>
      </c>
      <c r="Q64" s="32">
        <f t="shared" si="56"/>
        <v>0</v>
      </c>
      <c r="R64" s="32">
        <f t="shared" si="57"/>
        <v>0</v>
      </c>
      <c r="S64" s="32">
        <f t="shared" si="58"/>
        <v>0</v>
      </c>
      <c r="T64" s="32">
        <f t="shared" si="59"/>
        <v>0</v>
      </c>
    </row>
    <row r="65" spans="1:20" x14ac:dyDescent="0.2">
      <c r="A65" s="12" t="s">
        <v>43</v>
      </c>
      <c r="B65" s="42"/>
      <c r="C65" s="43"/>
      <c r="D65" s="51"/>
      <c r="E65" s="9"/>
      <c r="F65" s="9">
        <f t="shared" si="48"/>
        <v>-0.3608831875857339</v>
      </c>
      <c r="G65" s="14">
        <v>0.68739654778235015</v>
      </c>
      <c r="H65" s="5">
        <f t="shared" si="49"/>
        <v>1.4435327503429354</v>
      </c>
      <c r="I65" s="15">
        <v>8.281594074156183E-2</v>
      </c>
      <c r="J65" s="5">
        <f t="shared" si="50"/>
        <v>1.0351992592695229</v>
      </c>
      <c r="K65" s="5">
        <f t="shared" si="51"/>
        <v>-2.8396151971981922</v>
      </c>
      <c r="L65" s="5">
        <f t="shared" si="52"/>
        <v>-0.93707301507540353</v>
      </c>
      <c r="M65" s="5">
        <f t="shared" si="53"/>
        <v>-1.9025421821227888</v>
      </c>
      <c r="N65" s="4"/>
      <c r="O65" s="32">
        <f t="shared" si="54"/>
        <v>0</v>
      </c>
      <c r="P65" s="32">
        <f t="shared" si="55"/>
        <v>0</v>
      </c>
      <c r="Q65" s="32">
        <f t="shared" si="56"/>
        <v>0</v>
      </c>
      <c r="R65" s="32">
        <f t="shared" si="57"/>
        <v>0</v>
      </c>
      <c r="S65" s="32">
        <f t="shared" si="58"/>
        <v>0</v>
      </c>
      <c r="T65" s="32">
        <f t="shared" si="59"/>
        <v>0</v>
      </c>
    </row>
    <row r="66" spans="1:20" x14ac:dyDescent="0.2">
      <c r="A66" s="12" t="s">
        <v>44</v>
      </c>
      <c r="B66" s="42"/>
      <c r="C66" s="43"/>
      <c r="D66" s="51"/>
      <c r="E66" s="9"/>
      <c r="F66" s="9">
        <f t="shared" si="48"/>
        <v>-0.20822101337448562</v>
      </c>
      <c r="G66" s="14">
        <v>0.39661145404663922</v>
      </c>
      <c r="H66" s="5">
        <f t="shared" si="49"/>
        <v>0.83288405349794237</v>
      </c>
      <c r="I66" s="15">
        <v>4.778282751305156E-2</v>
      </c>
      <c r="J66" s="5">
        <f t="shared" si="50"/>
        <v>0.59728534391314447</v>
      </c>
      <c r="K66" s="5">
        <f t="shared" si="51"/>
        <v>-1.6383904107855725</v>
      </c>
      <c r="L66" s="5">
        <f t="shared" si="52"/>
        <v>-0.54066883555923895</v>
      </c>
      <c r="M66" s="5">
        <f t="shared" si="53"/>
        <v>-1.0977215752263336</v>
      </c>
      <c r="N66" s="4"/>
      <c r="O66" s="32">
        <f t="shared" si="54"/>
        <v>0</v>
      </c>
      <c r="P66" s="32">
        <f t="shared" si="55"/>
        <v>0</v>
      </c>
      <c r="Q66" s="32">
        <f t="shared" si="56"/>
        <v>0</v>
      </c>
      <c r="R66" s="32">
        <f t="shared" si="57"/>
        <v>0</v>
      </c>
      <c r="S66" s="32">
        <f t="shared" si="58"/>
        <v>0</v>
      </c>
      <c r="T66" s="32">
        <f t="shared" si="59"/>
        <v>0</v>
      </c>
    </row>
    <row r="67" spans="1:20" x14ac:dyDescent="0.2">
      <c r="A67" s="12" t="s">
        <v>45</v>
      </c>
      <c r="B67" s="42"/>
      <c r="C67" s="43"/>
      <c r="D67" s="51"/>
      <c r="E67" s="9"/>
      <c r="F67" s="9">
        <f t="shared" si="48"/>
        <v>-0.36343125000000009</v>
      </c>
      <c r="G67" s="14">
        <v>0.69225000000000003</v>
      </c>
      <c r="H67" s="5">
        <f t="shared" si="49"/>
        <v>1.4537250000000002</v>
      </c>
      <c r="I67" s="15">
        <v>8.3400673400673392E-2</v>
      </c>
      <c r="J67" s="5">
        <f t="shared" si="50"/>
        <v>1.0425084175084174</v>
      </c>
      <c r="K67" s="5">
        <f t="shared" si="51"/>
        <v>-2.8596646675084179</v>
      </c>
      <c r="L67" s="5">
        <f t="shared" si="52"/>
        <v>-0.94368934027777795</v>
      </c>
      <c r="M67" s="5">
        <f t="shared" si="53"/>
        <v>-1.9159753272306399</v>
      </c>
      <c r="N67" s="4"/>
      <c r="O67" s="32">
        <f t="shared" si="54"/>
        <v>0</v>
      </c>
      <c r="P67" s="32">
        <f t="shared" si="55"/>
        <v>0</v>
      </c>
      <c r="Q67" s="32">
        <f t="shared" si="56"/>
        <v>0</v>
      </c>
      <c r="R67" s="32">
        <f t="shared" si="57"/>
        <v>0</v>
      </c>
      <c r="S67" s="32">
        <f t="shared" si="58"/>
        <v>0</v>
      </c>
      <c r="T67" s="32">
        <f t="shared" si="59"/>
        <v>0</v>
      </c>
    </row>
    <row r="68" spans="1:20" x14ac:dyDescent="0.2">
      <c r="A68" s="12" t="s">
        <v>46</v>
      </c>
      <c r="B68" s="42"/>
      <c r="C68" s="43"/>
      <c r="D68" s="51"/>
      <c r="E68" s="9"/>
      <c r="F68" s="9">
        <f t="shared" si="48"/>
        <v>-0.23368778935185175</v>
      </c>
      <c r="G68" s="14">
        <v>0.44511959876543206</v>
      </c>
      <c r="H68" s="5">
        <f t="shared" si="49"/>
        <v>0.93475115740740733</v>
      </c>
      <c r="I68" s="15">
        <v>5.3626976209280725E-2</v>
      </c>
      <c r="J68" s="5">
        <f t="shared" si="50"/>
        <v>0.67033720261600904</v>
      </c>
      <c r="K68" s="5">
        <f t="shared" si="51"/>
        <v>-1.8387761493752681</v>
      </c>
      <c r="L68" s="5">
        <f t="shared" si="52"/>
        <v>-0.60679612929383853</v>
      </c>
      <c r="M68" s="5">
        <f t="shared" si="53"/>
        <v>-1.2319800200814295</v>
      </c>
      <c r="N68" s="4"/>
      <c r="O68" s="32">
        <f t="shared" si="54"/>
        <v>0</v>
      </c>
      <c r="P68" s="32">
        <f t="shared" si="55"/>
        <v>0</v>
      </c>
      <c r="Q68" s="32">
        <f t="shared" si="56"/>
        <v>0</v>
      </c>
      <c r="R68" s="32">
        <f t="shared" si="57"/>
        <v>0</v>
      </c>
      <c r="S68" s="32">
        <f t="shared" si="58"/>
        <v>0</v>
      </c>
      <c r="T68" s="32">
        <f t="shared" si="59"/>
        <v>0</v>
      </c>
    </row>
    <row r="69" spans="1:20" x14ac:dyDescent="0.2">
      <c r="A69" s="12" t="s">
        <v>47</v>
      </c>
      <c r="B69" s="42"/>
      <c r="C69" s="43"/>
      <c r="D69" s="51"/>
      <c r="E69" s="9"/>
      <c r="F69" s="9">
        <f t="shared" si="48"/>
        <v>-0.58370016718107021</v>
      </c>
      <c r="G69" s="14">
        <v>1.1118098422496572</v>
      </c>
      <c r="H69" s="5">
        <f t="shared" si="49"/>
        <v>2.3348006687242804</v>
      </c>
      <c r="I69" s="15">
        <v>0.13394826946495897</v>
      </c>
      <c r="J69" s="5">
        <f t="shared" si="50"/>
        <v>1.6743533683119871</v>
      </c>
      <c r="K69" s="5">
        <f t="shared" si="51"/>
        <v>-4.5928542042173373</v>
      </c>
      <c r="L69" s="5">
        <f t="shared" si="52"/>
        <v>-1.5156418873917215</v>
      </c>
      <c r="M69" s="5">
        <f t="shared" si="53"/>
        <v>-3.0772123168256158</v>
      </c>
      <c r="N69" s="4"/>
      <c r="O69" s="32">
        <f t="shared" si="54"/>
        <v>0</v>
      </c>
      <c r="P69" s="32">
        <f t="shared" si="55"/>
        <v>0</v>
      </c>
      <c r="Q69" s="32">
        <f t="shared" si="56"/>
        <v>0</v>
      </c>
      <c r="R69" s="32">
        <f t="shared" si="57"/>
        <v>0</v>
      </c>
      <c r="S69" s="32">
        <f t="shared" si="58"/>
        <v>0</v>
      </c>
      <c r="T69" s="32">
        <f t="shared" si="59"/>
        <v>0</v>
      </c>
    </row>
    <row r="70" spans="1:20" x14ac:dyDescent="0.2">
      <c r="A70" s="12"/>
      <c r="B70" s="42"/>
      <c r="C70" s="43"/>
      <c r="D70" s="51"/>
      <c r="E70" s="9"/>
      <c r="F70" s="9"/>
      <c r="G70" s="12"/>
      <c r="H70" s="4"/>
      <c r="I70" s="12"/>
      <c r="J70" s="4"/>
      <c r="K70" s="4"/>
      <c r="L70" s="4"/>
      <c r="M70" s="4"/>
      <c r="N70" s="4"/>
      <c r="O70" s="4"/>
      <c r="P70" s="4"/>
      <c r="Q70" s="4"/>
      <c r="R70" s="4"/>
      <c r="S70" s="4"/>
      <c r="T70" s="4"/>
    </row>
    <row r="71" spans="1:20" x14ac:dyDescent="0.2">
      <c r="A71" s="13" t="s">
        <v>48</v>
      </c>
      <c r="B71" s="42"/>
      <c r="C71" s="43"/>
      <c r="D71" s="51"/>
      <c r="E71" s="9"/>
      <c r="F71" s="9"/>
      <c r="G71" s="12"/>
      <c r="H71" s="4"/>
      <c r="I71" s="12"/>
      <c r="J71" s="4"/>
      <c r="K71" s="4"/>
      <c r="L71" s="4"/>
      <c r="M71" s="4"/>
      <c r="N71" s="4"/>
      <c r="O71" s="4"/>
      <c r="P71" s="4"/>
      <c r="Q71" s="4"/>
      <c r="R71" s="4"/>
      <c r="S71" s="4"/>
      <c r="T71" s="4"/>
    </row>
    <row r="72" spans="1:20" x14ac:dyDescent="0.2">
      <c r="A72" s="12" t="s">
        <v>49</v>
      </c>
      <c r="B72" s="42">
        <v>2</v>
      </c>
      <c r="C72" s="43"/>
      <c r="D72" s="51"/>
      <c r="E72" s="9">
        <v>6.6120923637703912</v>
      </c>
      <c r="F72" s="9">
        <f>IF(D72&gt;0,D72,E72-(G72*B$2*1.05)+H72-I72*12.5+J72)</f>
        <v>6.5500111137703918</v>
      </c>
      <c r="G72" s="14">
        <v>0.11825000000000001</v>
      </c>
      <c r="H72" s="5">
        <f>G72*B$3*1.05</f>
        <v>0.24832500000000002</v>
      </c>
      <c r="I72" s="15">
        <v>0.03</v>
      </c>
      <c r="J72" s="5">
        <f>I72*B$4</f>
        <v>0.375</v>
      </c>
      <c r="K72" s="5">
        <f>F72-H72-J72</f>
        <v>5.9266861137703915</v>
      </c>
      <c r="L72" s="5">
        <f>K72*B$12</f>
        <v>1.9558064175442293</v>
      </c>
      <c r="M72" s="5">
        <f>K72-L72</f>
        <v>3.9708796962261621</v>
      </c>
      <c r="N72" s="4"/>
      <c r="O72" s="32">
        <f>IF(O$14="Increase",IF(C72="y",0,IF($B72&gt;0,H72*$B72*(1+O$15),0)),IF(C72="y",0,IF($B72&gt;0,H72*$B72*(1-O$15),0)))</f>
        <v>0.59598000000000007</v>
      </c>
      <c r="P72" s="32">
        <f>IF(P$14="Increase",IF(C72="y",0,IF($B72&gt;0,(I72*B$4*(1-B$7))*$B72*(1+P$15),0)),IF(C72="y",0,IF($B72&gt;0,(I72*B$4*(1-B$7))*$B72*(1-P$15),0)))</f>
        <v>0.89999999999999991</v>
      </c>
      <c r="Q72" s="32">
        <f>IF(Q$14="Increase",IF(C72="y",0,IF($B72&gt;0,(I72*B$6*(B$7))*$B72*(1+Q$15),0)),IF(C72="y",0,IF($B72&gt;0,(I72*B$6*(B$7))*$B72*(1-Q$15),0)))</f>
        <v>0</v>
      </c>
      <c r="R72" s="32">
        <f>IF(R$14="Increase",IF(C72="y",0,IF($B72&gt;0,L72*$B72*(1+R$15),0)),IF(C72="y",0,IF($B72&gt;0,L72*$B72*(1-R$15),0)))</f>
        <v>4.6939354021061499</v>
      </c>
      <c r="S72" s="32">
        <f>IF(S$14="Increase",IF(C72="y",0,IF($B72&gt;0,M72*$B72*(1+S$15),0)),IF(C72="y",0,IF($B72&gt;0,M72*$B72*(1-S$15),0)))</f>
        <v>9.530111270942788</v>
      </c>
      <c r="T72" s="32">
        <f>IF(T$14="Increase",IF(C72="y",F72*B72*(1+T$15),0),IF(C72="y",F72*B72*(1-T$15),0))</f>
        <v>0</v>
      </c>
    </row>
    <row r="73" spans="1:20" x14ac:dyDescent="0.2">
      <c r="A73" s="12" t="s">
        <v>50</v>
      </c>
      <c r="B73" s="42"/>
      <c r="C73" s="43"/>
      <c r="D73" s="51"/>
      <c r="E73" s="9"/>
      <c r="F73" s="9">
        <f>IF(D73&gt;0,D73,E73-(G73*B$2*1.05)+H73-I73*12.5+J73)</f>
        <v>-8.7937499999999891E-2</v>
      </c>
      <c r="G73" s="14">
        <v>0.16750000000000001</v>
      </c>
      <c r="H73" s="5">
        <f>G73*B$3*1.05</f>
        <v>0.35175000000000006</v>
      </c>
      <c r="I73" s="15">
        <v>5.0370370370370371E-2</v>
      </c>
      <c r="J73" s="5">
        <f>I73*B$4</f>
        <v>0.62962962962962965</v>
      </c>
      <c r="K73" s="5">
        <f>F73-H73-J73</f>
        <v>-1.0693171296296295</v>
      </c>
      <c r="L73" s="5">
        <f>K73*B$12</f>
        <v>-0.35287465277777774</v>
      </c>
      <c r="M73" s="5">
        <f>K73-L73</f>
        <v>-0.71644247685185181</v>
      </c>
      <c r="N73" s="4"/>
      <c r="O73" s="32">
        <f>IF(O$14="Increase",IF(C73="y",0,IF($B73&gt;0,H73*$B73*(1+O$15),0)),IF(C73="y",0,IF($B73&gt;0,H73*$B73*(1-O$15),0)))</f>
        <v>0</v>
      </c>
      <c r="P73" s="32">
        <f>IF(P$14="Increase",IF(C73="y",0,IF($B73&gt;0,(I73*B$4*(1-B$7))*$B73*(1+P$15),0)),IF(C73="y",0,IF($B73&gt;0,(I73*B$4*(1-B$7))*$B73*(1-P$15),0)))</f>
        <v>0</v>
      </c>
      <c r="Q73" s="32">
        <f>IF(Q$14="Increase",IF(C73="y",0,IF($B73&gt;0,(I73*B$6*(B$7))*$B73*(1+Q$15),0)),IF(C73="y",0,IF($B73&gt;0,(I73*B$6*(B$7))*$B73*(1-Q$15),0)))</f>
        <v>0</v>
      </c>
      <c r="R73" s="32">
        <f>IF(R$14="Increase",IF(C73="y",0,IF($B73&gt;0,L73*$B73*(1+R$15),0)),IF(C73="y",0,IF($B73&gt;0,L73*$B73*(1-R$15),0)))</f>
        <v>0</v>
      </c>
      <c r="S73" s="32">
        <f>IF(S$14="Increase",IF(C73="y",0,IF($B73&gt;0,M73*$B73*(1+S$15),0)),IF(C73="y",0,IF($B73&gt;0,M73*$B73*(1-S$15),0)))</f>
        <v>0</v>
      </c>
      <c r="T73" s="32">
        <f>IF(T$14="Increase",IF(C73="y",F73*B73*(1+T$15),0),IF(C73="y",F73*B73*(1-T$15),0))</f>
        <v>0</v>
      </c>
    </row>
    <row r="74" spans="1:20" x14ac:dyDescent="0.2">
      <c r="A74" s="12" t="s">
        <v>51</v>
      </c>
      <c r="B74" s="42"/>
      <c r="C74" s="43"/>
      <c r="D74" s="51"/>
      <c r="E74" s="9"/>
      <c r="F74" s="9">
        <f>IF(D74&gt;0,D74,E74-(G74*B$2*1.05)+H74-I74*12.5+J74)</f>
        <v>-5.7750000000000051E-2</v>
      </c>
      <c r="G74" s="14">
        <v>0.11</v>
      </c>
      <c r="H74" s="5">
        <f>G74*B$3*1.05</f>
        <v>0.23100000000000001</v>
      </c>
      <c r="I74" s="15">
        <v>1.4814814814814815E-2</v>
      </c>
      <c r="J74" s="5">
        <f>I74*B$4</f>
        <v>0.1851851851851852</v>
      </c>
      <c r="K74" s="5">
        <f>F74-H74-J74</f>
        <v>-0.47393518518518529</v>
      </c>
      <c r="L74" s="5">
        <f>K74*B$12</f>
        <v>-0.15639861111111114</v>
      </c>
      <c r="M74" s="5">
        <f>K74-L74</f>
        <v>-0.31753657407407415</v>
      </c>
      <c r="N74" s="4"/>
      <c r="O74" s="32">
        <f>IF(O$14="Increase",IF(C74="y",0,IF($B74&gt;0,H74*$B74*(1+O$15),0)),IF(C74="y",0,IF($B74&gt;0,H74*$B74*(1-O$15),0)))</f>
        <v>0</v>
      </c>
      <c r="P74" s="32">
        <f>IF(P$14="Increase",IF(C74="y",0,IF($B74&gt;0,(I74*B$4*(1-B$7))*$B74*(1+P$15),0)),IF(C74="y",0,IF($B74&gt;0,(I74*B$4*(1-B$7))*$B74*(1-P$15),0)))</f>
        <v>0</v>
      </c>
      <c r="Q74" s="32">
        <f>IF(Q$14="Increase",IF(C74="y",0,IF($B74&gt;0,(I74*B$6*(B$7))*$B74*(1+Q$15),0)),IF(C74="y",0,IF($B74&gt;0,(I74*B$6*(B$7))*$B74*(1-Q$15),0)))</f>
        <v>0</v>
      </c>
      <c r="R74" s="32">
        <f>IF(R$14="Increase",IF(C74="y",0,IF($B74&gt;0,L74*$B74*(1+R$15),0)),IF(C74="y",0,IF($B74&gt;0,L74*$B74*(1-R$15),0)))</f>
        <v>0</v>
      </c>
      <c r="S74" s="32">
        <f>IF(S$14="Increase",IF(C74="y",0,IF($B74&gt;0,M74*$B74*(1+S$15),0)),IF(C74="y",0,IF($B74&gt;0,M74*$B74*(1-S$15),0)))</f>
        <v>0</v>
      </c>
      <c r="T74" s="32">
        <f>IF(T$14="Increase",IF(C74="y",F74*B74*(1+T$15),0),IF(C74="y",F74*B74*(1-T$15),0))</f>
        <v>0</v>
      </c>
    </row>
    <row r="75" spans="1:20" x14ac:dyDescent="0.2">
      <c r="A75" s="12"/>
      <c r="B75" s="42"/>
      <c r="C75" s="43"/>
      <c r="D75" s="51"/>
      <c r="E75" s="9"/>
      <c r="F75" s="9"/>
      <c r="G75" s="12"/>
      <c r="H75" s="4"/>
      <c r="I75" s="12"/>
      <c r="J75" s="4"/>
      <c r="K75" s="4"/>
      <c r="L75" s="4"/>
      <c r="M75" s="4"/>
      <c r="N75" s="4"/>
      <c r="O75" s="4"/>
      <c r="P75" s="4"/>
      <c r="Q75" s="4"/>
      <c r="R75" s="4"/>
      <c r="S75" s="4"/>
      <c r="T75" s="4"/>
    </row>
    <row r="76" spans="1:20" x14ac:dyDescent="0.2">
      <c r="A76" s="13" t="s">
        <v>52</v>
      </c>
      <c r="B76" s="42"/>
      <c r="C76" s="43"/>
      <c r="D76" s="51"/>
      <c r="E76" s="9"/>
      <c r="F76" s="9"/>
      <c r="G76" s="12"/>
      <c r="H76" s="4"/>
      <c r="I76" s="12"/>
      <c r="J76" s="4"/>
      <c r="K76" s="4"/>
      <c r="L76" s="4"/>
      <c r="M76" s="4"/>
      <c r="N76" s="4"/>
      <c r="O76" s="4"/>
      <c r="P76" s="4"/>
      <c r="Q76" s="4"/>
      <c r="R76" s="4"/>
      <c r="S76" s="4"/>
      <c r="T76" s="4"/>
    </row>
    <row r="77" spans="1:20" x14ac:dyDescent="0.2">
      <c r="A77" s="12" t="s">
        <v>53</v>
      </c>
      <c r="B77" s="42"/>
      <c r="C77" s="43"/>
      <c r="D77" s="51"/>
      <c r="E77" s="9"/>
      <c r="F77" s="9">
        <f>IF(D77&gt;0,D77,E77-(G77*B$2*1.05)+H77-I77*12.5+J77)</f>
        <v>-0.14096249999999999</v>
      </c>
      <c r="G77" s="14">
        <v>0.26850000000000002</v>
      </c>
      <c r="H77" s="5">
        <f>G77*B$3*1.05</f>
        <v>0.56385000000000007</v>
      </c>
      <c r="I77" s="15">
        <v>3.8518518518518521E-2</v>
      </c>
      <c r="J77" s="5">
        <f>I77*B$4</f>
        <v>0.48148148148148151</v>
      </c>
      <c r="K77" s="5">
        <f>F77-H77-J77</f>
        <v>-1.1862939814814815</v>
      </c>
      <c r="L77" s="5">
        <f>K77*B$12</f>
        <v>-0.39147701388888889</v>
      </c>
      <c r="M77" s="5">
        <f>K77-L77</f>
        <v>-0.79481696759259257</v>
      </c>
      <c r="N77" s="4"/>
      <c r="O77" s="32">
        <f>IF(O$14="Increase",IF(C77="y",0,IF($B77&gt;0,H77*$B77*(1+O$15),0)),IF(C77="y",0,IF($B77&gt;0,H77*$B77*(1-O$15),0)))</f>
        <v>0</v>
      </c>
      <c r="P77" s="32">
        <f>IF(P$14="Increase",IF(C77="y",0,IF($B77&gt;0,(I77*B$4*(1-B$7))*$B77*(1+P$15),0)),IF(C77="y",0,IF($B77&gt;0,(I77*B$4*(1-B$7))*$B77*(1-P$15),0)))</f>
        <v>0</v>
      </c>
      <c r="Q77" s="32">
        <f>IF(Q$14="Increase",IF(C77="y",0,IF($B77&gt;0,(I77*B$6*(B$7))*$B77*(1+Q$15),0)),IF(C77="y",0,IF($B77&gt;0,(I77*B$6*(B$7))*$B77*(1-Q$15),0)))</f>
        <v>0</v>
      </c>
      <c r="R77" s="32">
        <f>IF(R$14="Increase",IF(C77="y",0,IF($B77&gt;0,L77*$B77*(1+R$15),0)),IF(C77="y",0,IF($B77&gt;0,L77*$B77*(1-R$15),0)))</f>
        <v>0</v>
      </c>
      <c r="S77" s="32">
        <f>IF(S$14="Increase",IF(C77="y",0,IF($B77&gt;0,M77*$B77*(1+S$15),0)),IF(C77="y",0,IF($B77&gt;0,M77*$B77*(1-S$15),0)))</f>
        <v>0</v>
      </c>
      <c r="T77" s="32">
        <f>IF(T$14="Increase",IF(C77="y",F77*B77*(1+T$15),0),IF(C77="y",F77*B77*(1-T$15),0))</f>
        <v>0</v>
      </c>
    </row>
    <row r="78" spans="1:20" x14ac:dyDescent="0.2">
      <c r="A78" s="12" t="s">
        <v>54</v>
      </c>
      <c r="B78" s="42"/>
      <c r="C78" s="43"/>
      <c r="D78" s="51"/>
      <c r="E78" s="9"/>
      <c r="F78" s="9">
        <f>IF(D78&gt;0,D78,E78-(G78*B$2*1.05)+H78-I78*12.5+J78)</f>
        <v>-0.27720000000000011</v>
      </c>
      <c r="G78" s="14">
        <v>0.52800000000000002</v>
      </c>
      <c r="H78" s="5">
        <f>G78*B$3*1.05</f>
        <v>1.1088</v>
      </c>
      <c r="I78" s="15">
        <v>8.4831649831649841E-2</v>
      </c>
      <c r="J78" s="5">
        <f>I78*B$4</f>
        <v>1.0603956228956231</v>
      </c>
      <c r="K78" s="5">
        <f>F78-H78-J78</f>
        <v>-2.446395622895623</v>
      </c>
      <c r="L78" s="5">
        <f>K78*B$12</f>
        <v>-0.80731055555555564</v>
      </c>
      <c r="M78" s="5">
        <f>K78-L78</f>
        <v>-1.6390850673400674</v>
      </c>
      <c r="N78" s="4"/>
      <c r="O78" s="32">
        <f>IF(O$14="Increase",IF(C78="y",0,IF($B78&gt;0,H78*$B78*(1+O$15),0)),IF(C78="y",0,IF($B78&gt;0,H78*$B78*(1-O$15),0)))</f>
        <v>0</v>
      </c>
      <c r="P78" s="32">
        <f>IF(P$14="Increase",IF(C78="y",0,IF($B78&gt;0,(I78*B$4*(1-B$7))*$B78*(1+P$15),0)),IF(C78="y",0,IF($B78&gt;0,(I78*B$4*(1-B$7))*$B78*(1-P$15),0)))</f>
        <v>0</v>
      </c>
      <c r="Q78" s="32">
        <f>IF(Q$14="Increase",IF(C78="y",0,IF($B78&gt;0,(I78*B$6*(B$7))*$B78*(1+Q$15),0)),IF(C78="y",0,IF($B78&gt;0,(I78*B$6*(B$7))*$B78*(1-Q$15),0)))</f>
        <v>0</v>
      </c>
      <c r="R78" s="32">
        <f>IF(R$14="Increase",IF(C78="y",0,IF($B78&gt;0,L78*$B78*(1+R$15),0)),IF(C78="y",0,IF($B78&gt;0,L78*$B78*(1-R$15),0)))</f>
        <v>0</v>
      </c>
      <c r="S78" s="32">
        <f>IF(S$14="Increase",IF(C78="y",0,IF($B78&gt;0,M78*$B78*(1+S$15),0)),IF(C78="y",0,IF($B78&gt;0,M78*$B78*(1-S$15),0)))</f>
        <v>0</v>
      </c>
      <c r="T78" s="32">
        <f>IF(T$14="Increase",IF(C78="y",F78*B78*(1+T$15),0),IF(C78="y",F78*B78*(1-T$15),0))</f>
        <v>0</v>
      </c>
    </row>
    <row r="79" spans="1:20" x14ac:dyDescent="0.2">
      <c r="A79" s="21" t="s">
        <v>93</v>
      </c>
      <c r="B79" s="40"/>
      <c r="C79" s="41"/>
      <c r="D79" s="53"/>
      <c r="E79" s="4"/>
      <c r="F79" s="4"/>
      <c r="G79" s="4"/>
      <c r="H79" s="4"/>
      <c r="I79" s="4"/>
      <c r="J79" s="4"/>
      <c r="K79" s="4"/>
      <c r="L79" s="4"/>
      <c r="M79" s="4"/>
      <c r="N79" s="4"/>
      <c r="O79" s="23">
        <f t="shared" ref="O79:T79" si="60">SUM(O19:O78)</f>
        <v>9.1559795890188447</v>
      </c>
      <c r="P79" s="23">
        <f>SUM(P19:P78)+B14*(1-B7)*B4</f>
        <v>15.895662363898412</v>
      </c>
      <c r="Q79" s="23">
        <f>SUM(Q19:Q78)+B14*B7*B6</f>
        <v>0</v>
      </c>
      <c r="R79" s="23">
        <f t="shared" si="60"/>
        <v>22.565862362746724</v>
      </c>
      <c r="S79" s="23">
        <f>SUM(S19:S78)-(B14*(1-B7)*B4+B14*B7*B6)</f>
        <v>36.44053873648577</v>
      </c>
      <c r="T79" s="23">
        <f t="shared" si="60"/>
        <v>0</v>
      </c>
    </row>
    <row r="80" spans="1:20" s="11" customFormat="1" x14ac:dyDescent="0.2">
      <c r="A80" s="21" t="s">
        <v>143</v>
      </c>
      <c r="B80" s="40"/>
      <c r="C80" s="41"/>
      <c r="D80" s="53"/>
      <c r="E80" s="21"/>
      <c r="F80" s="21"/>
      <c r="G80" s="21"/>
      <c r="H80" s="21"/>
      <c r="I80" s="21"/>
      <c r="J80" s="21"/>
      <c r="K80" s="21"/>
      <c r="L80" s="21"/>
      <c r="M80" s="21"/>
      <c r="N80" s="21"/>
      <c r="O80" s="23">
        <f>O79 - (O79/$T81)*'No-Till Soybeans'!$I23</f>
        <v>9.1559795890188447</v>
      </c>
      <c r="P80" s="23">
        <f>P79 - (P79/$T81)*'No-Till Soybeans'!$I23</f>
        <v>15.895662363898412</v>
      </c>
      <c r="Q80" s="23">
        <f>Q79 - (Q79/$T81)*'No-Till Soybeans'!$I23</f>
        <v>0</v>
      </c>
      <c r="R80" s="23">
        <f>R79 - (R79/$T81)*'No-Till Soybeans'!$I23</f>
        <v>22.565862362746724</v>
      </c>
      <c r="S80" s="23">
        <f>S79 - (S79/$T81)*'No-Till Soybeans'!$I23</f>
        <v>36.44053873648577</v>
      </c>
      <c r="T80" s="23">
        <f>'No-Till Soybeans'!I23</f>
        <v>0</v>
      </c>
    </row>
    <row r="81" spans="15:20" x14ac:dyDescent="0.2">
      <c r="T81" s="10">
        <f>SUM(O79:T79)</f>
        <v>84.058043052149742</v>
      </c>
    </row>
    <row r="82" spans="15:20" x14ac:dyDescent="0.2">
      <c r="T82" s="10">
        <f>SUM(O80:T80)</f>
        <v>84.058043052149742</v>
      </c>
    </row>
    <row r="83" spans="15:20" x14ac:dyDescent="0.2">
      <c r="T83" s="10"/>
    </row>
    <row r="84" spans="15:20" x14ac:dyDescent="0.2">
      <c r="T84" s="10"/>
    </row>
    <row r="87" spans="15:20" x14ac:dyDescent="0.2">
      <c r="O87" t="s">
        <v>89</v>
      </c>
    </row>
    <row r="88" spans="15:20" x14ac:dyDescent="0.2">
      <c r="O88" t="s">
        <v>90</v>
      </c>
    </row>
  </sheetData>
  <mergeCells count="18">
    <mergeCell ref="A55:B55"/>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Machinery Calculations</vt:lpstr>
      <vt:lpstr>Sorghum-Corn</vt:lpstr>
      <vt:lpstr>Mach(CornNoTill)</vt:lpstr>
      <vt:lpstr>Sorghum</vt:lpstr>
      <vt:lpstr>Mach(Sorg)</vt:lpstr>
      <vt:lpstr>No-Till Soybeans</vt:lpstr>
      <vt:lpstr>Machinery Soybeans</vt:lpstr>
      <vt:lpstr>Notes-Questions</vt:lpstr>
      <vt:lpstr>Notes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Windows User</cp:lastModifiedBy>
  <cp:lastPrinted>2015-09-14T20:05:37Z</cp:lastPrinted>
  <dcterms:created xsi:type="dcterms:W3CDTF">2003-09-21T12:28:39Z</dcterms:created>
  <dcterms:modified xsi:type="dcterms:W3CDTF">2016-04-25T17:23:19Z</dcterms:modified>
</cp:coreProperties>
</file>